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40" windowHeight="9690" activeTab="3"/>
  </bookViews>
  <sheets>
    <sheet name="Люб. присед б.э." sheetId="1" r:id="rId1"/>
    <sheet name="Люб. тяга экип" sheetId="2" r:id="rId2"/>
    <sheet name="Люб. жим экип" sheetId="3" r:id="rId3"/>
    <sheet name="Люб. жим б.э." sheetId="4" r:id="rId4"/>
    <sheet name="Люб. ПЛ. экип" sheetId="5" r:id="rId5"/>
    <sheet name="Люб. ПЛ. б.э." sheetId="6" r:id="rId6"/>
    <sheet name="ПРО присед б.э." sheetId="7" r:id="rId7"/>
    <sheet name="ПРО присед экип" sheetId="8" r:id="rId8"/>
    <sheet name="ПРО тяга экип" sheetId="9" r:id="rId9"/>
    <sheet name="ПРО тяга б.э." sheetId="10" r:id="rId10"/>
    <sheet name="ПРО жим экип" sheetId="11" r:id="rId11"/>
    <sheet name="ПРО жим б.э." sheetId="12" r:id="rId12"/>
    <sheet name="ПРО ПЛ. экип" sheetId="13" r:id="rId13"/>
    <sheet name="ПРО ПЛ. б.э." sheetId="14" r:id="rId14"/>
    <sheet name="СОВ присед" sheetId="15" r:id="rId15"/>
    <sheet name="СОВ тяга" sheetId="16" r:id="rId16"/>
    <sheet name="СОВ жим" sheetId="17" r:id="rId17"/>
    <sheet name="СОВ ПЛ." sheetId="18" r:id="rId18"/>
    <sheet name="Люб. тяга б.э." sheetId="19" r:id="rId19"/>
  </sheets>
  <definedNames/>
  <calcPr fullCalcOnLoad="1" refMode="R1C1"/>
</workbook>
</file>

<file path=xl/sharedStrings.xml><?xml version="1.0" encoding="utf-8"?>
<sst xmlns="http://schemas.openxmlformats.org/spreadsheetml/2006/main" count="7354" uniqueCount="1945">
  <si>
    <t>ФИО</t>
  </si>
  <si>
    <t>Присед</t>
  </si>
  <si>
    <t>Жим</t>
  </si>
  <si>
    <t>Тяга</t>
  </si>
  <si>
    <t>Сумма</t>
  </si>
  <si>
    <t>С вес</t>
  </si>
  <si>
    <t>Тренер</t>
  </si>
  <si>
    <t>Очки</t>
  </si>
  <si>
    <t>Команда</t>
  </si>
  <si>
    <t>Рек</t>
  </si>
  <si>
    <t>Город</t>
  </si>
  <si>
    <t>Возр груп
Год. р./Возраст</t>
  </si>
  <si>
    <t>Открытый Чемпионат Европы 2016 Любители становая тяга без экипировки
16 - 17.Апрель.2016</t>
  </si>
  <si>
    <t>Schw/Mal</t>
  </si>
  <si>
    <t>ВЕСОВАЯ КАТЕГОРИЯ   44</t>
  </si>
  <si>
    <t>Лисова Юлия</t>
  </si>
  <si>
    <t>Juniors 20-23 (25.04.1994)/21</t>
  </si>
  <si>
    <t>41,70</t>
  </si>
  <si>
    <t xml:space="preserve">Тюмень </t>
  </si>
  <si>
    <t xml:space="preserve">Тюмень/Тюменская область </t>
  </si>
  <si>
    <t>85,0</t>
  </si>
  <si>
    <t>92,5</t>
  </si>
  <si>
    <t>85.00</t>
  </si>
  <si>
    <t xml:space="preserve">Мацько И. </t>
  </si>
  <si>
    <t>Матушкина Таисия</t>
  </si>
  <si>
    <t>Open (14.06.1985)/30</t>
  </si>
  <si>
    <t xml:space="preserve">Екатеринбург </t>
  </si>
  <si>
    <t xml:space="preserve">Екатеринбург/Свердловская область </t>
  </si>
  <si>
    <t>100,0</t>
  </si>
  <si>
    <t>105,0</t>
  </si>
  <si>
    <t>110,0</t>
  </si>
  <si>
    <t>110.00</t>
  </si>
  <si>
    <t xml:space="preserve">Бызов В. </t>
  </si>
  <si>
    <t>ВЕСОВАЯ КАТЕГОРИЯ   48</t>
  </si>
  <si>
    <t>Главатских Полина</t>
  </si>
  <si>
    <t>Teen 16-17 (15.10.1999)/16</t>
  </si>
  <si>
    <t>47,70</t>
  </si>
  <si>
    <t xml:space="preserve">Богатырь </t>
  </si>
  <si>
    <t xml:space="preserve">Сухой Лог/Свердловская область </t>
  </si>
  <si>
    <t>120,0</t>
  </si>
  <si>
    <t>120.00</t>
  </si>
  <si>
    <t xml:space="preserve">Кочнев Е. </t>
  </si>
  <si>
    <t>Михалева Татьяна</t>
  </si>
  <si>
    <t>Open (24.08.1980)/35</t>
  </si>
  <si>
    <t>47,95</t>
  </si>
  <si>
    <t xml:space="preserve">Колизей </t>
  </si>
  <si>
    <t xml:space="preserve">Пермь/Пермский край </t>
  </si>
  <si>
    <t>107,5</t>
  </si>
  <si>
    <t>115,0</t>
  </si>
  <si>
    <t xml:space="preserve">самост. </t>
  </si>
  <si>
    <t>ВЕСОВАЯ КАТЕГОРИЯ   52</t>
  </si>
  <si>
    <t>Бессонова Ольга</t>
  </si>
  <si>
    <t>Open (18.03.1980)/36</t>
  </si>
  <si>
    <t>51,95</t>
  </si>
  <si>
    <t>135,0</t>
  </si>
  <si>
    <t>145,0</t>
  </si>
  <si>
    <t>145.00</t>
  </si>
  <si>
    <t xml:space="preserve">Алемасцев С. </t>
  </si>
  <si>
    <t>Швецова Татьяна</t>
  </si>
  <si>
    <t>Open (31.12.1988)/27</t>
  </si>
  <si>
    <t>49,50</t>
  </si>
  <si>
    <t xml:space="preserve">Пермь </t>
  </si>
  <si>
    <t>130,0</t>
  </si>
  <si>
    <t>140,0</t>
  </si>
  <si>
    <t>140.00</t>
  </si>
  <si>
    <t>Иванцова Танзиля</t>
  </si>
  <si>
    <t>Open (19.02.1989)/27</t>
  </si>
  <si>
    <t>51,40</t>
  </si>
  <si>
    <t xml:space="preserve">Лично </t>
  </si>
  <si>
    <t>80,0</t>
  </si>
  <si>
    <t>90,0</t>
  </si>
  <si>
    <t>90.00</t>
  </si>
  <si>
    <t xml:space="preserve">Нефёдов В. </t>
  </si>
  <si>
    <t>ВЕСОВАЯ КАТЕГОРИЯ   56</t>
  </si>
  <si>
    <t>Кириллова Анастасия</t>
  </si>
  <si>
    <t>Teen 16-17 (18.03.1999)/17</t>
  </si>
  <si>
    <t>55,80</t>
  </si>
  <si>
    <t xml:space="preserve">Тавда </t>
  </si>
  <si>
    <t xml:space="preserve">Тавда/Свердловская область </t>
  </si>
  <si>
    <t>112,5</t>
  </si>
  <si>
    <t>122,5</t>
  </si>
  <si>
    <t>122.50</t>
  </si>
  <si>
    <t xml:space="preserve">Петров Д. </t>
  </si>
  <si>
    <t>ВЕСОВАЯ КАТЕГОРИЯ   60</t>
  </si>
  <si>
    <t>Рябикова Алёна</t>
  </si>
  <si>
    <t>Open (08.12.1980)/35</t>
  </si>
  <si>
    <t>59,85</t>
  </si>
  <si>
    <t xml:space="preserve">Мизев Е. </t>
  </si>
  <si>
    <t>Медведева Дарья</t>
  </si>
  <si>
    <t>Open (05.11.1989)/26</t>
  </si>
  <si>
    <t>58,90</t>
  </si>
  <si>
    <t>0.00</t>
  </si>
  <si>
    <t xml:space="preserve">Кирьянов А. </t>
  </si>
  <si>
    <t>ВЕСОВАЯ КАТЕГОРИЯ   67.5</t>
  </si>
  <si>
    <t>Давлеткиреева Лилия</t>
  </si>
  <si>
    <t>Open (16.05.1982)/33</t>
  </si>
  <si>
    <t>66,50</t>
  </si>
  <si>
    <t xml:space="preserve">Магнитогорск </t>
  </si>
  <si>
    <t xml:space="preserve">Магнитогорск/Челябинская область </t>
  </si>
  <si>
    <t>125,0</t>
  </si>
  <si>
    <t>125.00</t>
  </si>
  <si>
    <t xml:space="preserve">Новиков В. </t>
  </si>
  <si>
    <t>Сажин Александр</t>
  </si>
  <si>
    <t>Open (07.12.1984)/31</t>
  </si>
  <si>
    <t>55,50</t>
  </si>
  <si>
    <t xml:space="preserve">Кунгур </t>
  </si>
  <si>
    <t xml:space="preserve">Кунгур/Пермский край </t>
  </si>
  <si>
    <t xml:space="preserve">Мальцев К. </t>
  </si>
  <si>
    <t>ВЕСОВАЯ КАТЕГОРИЯ   75</t>
  </si>
  <si>
    <t>Захватов Александр</t>
  </si>
  <si>
    <t>Teen 16-17 (04.08.1998)/17</t>
  </si>
  <si>
    <t>75,00</t>
  </si>
  <si>
    <t xml:space="preserve">Свердловская область </t>
  </si>
  <si>
    <t>220,0</t>
  </si>
  <si>
    <t>227,5</t>
  </si>
  <si>
    <t>236,0</t>
  </si>
  <si>
    <t>236.00</t>
  </si>
  <si>
    <t>Соляник Юрий</t>
  </si>
  <si>
    <t>Juniors 20-23 (06.01.1993)/23</t>
  </si>
  <si>
    <t>73,50</t>
  </si>
  <si>
    <t xml:space="preserve">Орск </t>
  </si>
  <si>
    <t xml:space="preserve">Орск/Оренбургская область </t>
  </si>
  <si>
    <t>0,0</t>
  </si>
  <si>
    <t>180,0</t>
  </si>
  <si>
    <t>190,0</t>
  </si>
  <si>
    <t>205,0</t>
  </si>
  <si>
    <t>190.00</t>
  </si>
  <si>
    <t>Белых Евгений</t>
  </si>
  <si>
    <t>Open (28.11.1985)/30</t>
  </si>
  <si>
    <t>74,40</t>
  </si>
  <si>
    <t xml:space="preserve">Асбест </t>
  </si>
  <si>
    <t xml:space="preserve">Асбест/Свердловская область </t>
  </si>
  <si>
    <t>217,5</t>
  </si>
  <si>
    <t>205.00</t>
  </si>
  <si>
    <t xml:space="preserve">Зенков Н. </t>
  </si>
  <si>
    <t>Сафитдинов Альберт</t>
  </si>
  <si>
    <t>Open (23.09.1989)/26</t>
  </si>
  <si>
    <t>74,00</t>
  </si>
  <si>
    <t xml:space="preserve">Спарта </t>
  </si>
  <si>
    <t>170,0</t>
  </si>
  <si>
    <t>197,5</t>
  </si>
  <si>
    <t>180.00</t>
  </si>
  <si>
    <t xml:space="preserve">Швидко Л. </t>
  </si>
  <si>
    <t>Серов Александр</t>
  </si>
  <si>
    <t>Open (04.01.1984)/32</t>
  </si>
  <si>
    <t>72,40</t>
  </si>
  <si>
    <t>185,0</t>
  </si>
  <si>
    <t>Каменский Александр</t>
  </si>
  <si>
    <t>Open (21.08.1987)/28</t>
  </si>
  <si>
    <t xml:space="preserve">Брайт Фит </t>
  </si>
  <si>
    <t>175,0</t>
  </si>
  <si>
    <t xml:space="preserve">Малозёмов С. </t>
  </si>
  <si>
    <t>ВЕСОВАЯ КАТЕГОРИЯ   82.5</t>
  </si>
  <si>
    <t>Девятериков Артём</t>
  </si>
  <si>
    <t>Teen 16-17 (01.06.1998)/17</t>
  </si>
  <si>
    <t>76,95</t>
  </si>
  <si>
    <t>187,5</t>
  </si>
  <si>
    <t>175.00</t>
  </si>
  <si>
    <t xml:space="preserve">Ахметзянов О. </t>
  </si>
  <si>
    <t>Козиков Матвей</t>
  </si>
  <si>
    <t>Open (09.01.1989)/27</t>
  </si>
  <si>
    <t>81,30</t>
  </si>
  <si>
    <t>230,0</t>
  </si>
  <si>
    <t>240,0</t>
  </si>
  <si>
    <t>230.00</t>
  </si>
  <si>
    <t>Чигинцев Евгений</t>
  </si>
  <si>
    <t>Open (23.01.1985)/31</t>
  </si>
  <si>
    <t>80,45</t>
  </si>
  <si>
    <t>185.00</t>
  </si>
  <si>
    <t>Бызов Вячеслав</t>
  </si>
  <si>
    <t>Open (01.10.1988)/27</t>
  </si>
  <si>
    <t>80,65</t>
  </si>
  <si>
    <t xml:space="preserve">Медведь Барбелл </t>
  </si>
  <si>
    <t xml:space="preserve"> </t>
  </si>
  <si>
    <t>Трофимов Александр</t>
  </si>
  <si>
    <t>Open (01.03.1982)/34</t>
  </si>
  <si>
    <t>81,45</t>
  </si>
  <si>
    <t xml:space="preserve">Ватагин Е. </t>
  </si>
  <si>
    <t>ВЕСОВАЯ КАТЕГОРИЯ   90</t>
  </si>
  <si>
    <t>Голованов Евгений</t>
  </si>
  <si>
    <t>Open (18.07.1987)/28</t>
  </si>
  <si>
    <t>89,30</t>
  </si>
  <si>
    <t xml:space="preserve">Челябинск </t>
  </si>
  <si>
    <t xml:space="preserve">Челябинск/Челябинская область </t>
  </si>
  <si>
    <t>257,5</t>
  </si>
  <si>
    <t>265,0</t>
  </si>
  <si>
    <t>270,0</t>
  </si>
  <si>
    <t>265.00</t>
  </si>
  <si>
    <t xml:space="preserve">Корюков Е. </t>
  </si>
  <si>
    <t>Попков Владимир</t>
  </si>
  <si>
    <t>Open (04.05.1991)/24</t>
  </si>
  <si>
    <t>86,55</t>
  </si>
  <si>
    <t>225,0</t>
  </si>
  <si>
    <t>240.00</t>
  </si>
  <si>
    <t xml:space="preserve">Дмитриев К. </t>
  </si>
  <si>
    <t>Васютин Николай</t>
  </si>
  <si>
    <t>Open (23.01.1990)/26</t>
  </si>
  <si>
    <t>85,55</t>
  </si>
  <si>
    <t>215,0</t>
  </si>
  <si>
    <t>222,5</t>
  </si>
  <si>
    <t xml:space="preserve">Бакалина Ю. </t>
  </si>
  <si>
    <t>Кадочников Виктор</t>
  </si>
  <si>
    <t>Masters 65-69 (28.01.1948)/68</t>
  </si>
  <si>
    <t>88,50</t>
  </si>
  <si>
    <t>152,0</t>
  </si>
  <si>
    <t>152.00</t>
  </si>
  <si>
    <t>ВЕСОВАЯ КАТЕГОРИЯ   100</t>
  </si>
  <si>
    <t>Запольский Александр</t>
  </si>
  <si>
    <t>Teen 16-17 (28.08.1999)/16</t>
  </si>
  <si>
    <t>98,40</t>
  </si>
  <si>
    <t xml:space="preserve">Кумертау </t>
  </si>
  <si>
    <t xml:space="preserve">Кумертау/Башкортостан </t>
  </si>
  <si>
    <t>235,0</t>
  </si>
  <si>
    <t>235.00</t>
  </si>
  <si>
    <t xml:space="preserve">Галлямов А., Биккулов Э. </t>
  </si>
  <si>
    <t>Петров Антон</t>
  </si>
  <si>
    <t>Teen 16-17 (29.10.1998)/17</t>
  </si>
  <si>
    <t>96,45</t>
  </si>
  <si>
    <t>200,0</t>
  </si>
  <si>
    <t>207,5</t>
  </si>
  <si>
    <t>207.50</t>
  </si>
  <si>
    <t>Пеяс Станислав</t>
  </si>
  <si>
    <t>Open (28.11.1990)/25</t>
  </si>
  <si>
    <t>98,80</t>
  </si>
  <si>
    <t xml:space="preserve">Березники </t>
  </si>
  <si>
    <t xml:space="preserve">Березники/Пермский край </t>
  </si>
  <si>
    <t>285,0</t>
  </si>
  <si>
    <t>270.00</t>
  </si>
  <si>
    <t>Петров Дмитрий</t>
  </si>
  <si>
    <t>Open (06.08.1982)/33</t>
  </si>
  <si>
    <t>98,25</t>
  </si>
  <si>
    <t>210,0</t>
  </si>
  <si>
    <t>Кульпин Сергей</t>
  </si>
  <si>
    <t>Masters 40-44 (09.12.1973)/42</t>
  </si>
  <si>
    <t xml:space="preserve">Пономарёв А. </t>
  </si>
  <si>
    <t>ВЕСОВАЯ КАТЕГОРИЯ   110</t>
  </si>
  <si>
    <t>Голиков Максим</t>
  </si>
  <si>
    <t>Teen 16-17 (11.05.1999)/16</t>
  </si>
  <si>
    <t>108,10</t>
  </si>
  <si>
    <t>157,5</t>
  </si>
  <si>
    <t>157.50</t>
  </si>
  <si>
    <t>Евсеев Сергей</t>
  </si>
  <si>
    <t>Open (10.04.1988)/28</t>
  </si>
  <si>
    <t>105,10</t>
  </si>
  <si>
    <t>245,0</t>
  </si>
  <si>
    <t>260,0</t>
  </si>
  <si>
    <t>245.00</t>
  </si>
  <si>
    <t>Пособилов Эдуард</t>
  </si>
  <si>
    <t>Masters 45-49 (29.05.1970)/45</t>
  </si>
  <si>
    <t>101,80</t>
  </si>
  <si>
    <t xml:space="preserve">Месягутово </t>
  </si>
  <si>
    <t xml:space="preserve">Месягутово/Башкортостан </t>
  </si>
  <si>
    <t>195,0</t>
  </si>
  <si>
    <t xml:space="preserve">Леонтьев А. </t>
  </si>
  <si>
    <t>Кочнев Евгений</t>
  </si>
  <si>
    <t>Masters 50-54 (19.09.1965)/50</t>
  </si>
  <si>
    <t>110,00</t>
  </si>
  <si>
    <t>Чернавских Аркадий</t>
  </si>
  <si>
    <t>Masters 60-64 (06.06.1953)/62</t>
  </si>
  <si>
    <t>105,60</t>
  </si>
  <si>
    <t xml:space="preserve">Атлант </t>
  </si>
  <si>
    <t>220.00</t>
  </si>
  <si>
    <t>ВЕСОВАЯ КАТЕГОРИЯ   125</t>
  </si>
  <si>
    <t>Скоркин Роман</t>
  </si>
  <si>
    <t>Open (14.04.1986)/30</t>
  </si>
  <si>
    <t>113,00</t>
  </si>
  <si>
    <t>255,0</t>
  </si>
  <si>
    <t>255.00</t>
  </si>
  <si>
    <t>ВЕСОВАЯ КАТЕГОРИЯ   140</t>
  </si>
  <si>
    <t>Тяжельников Вячеслав</t>
  </si>
  <si>
    <t>Open (18.08.1950)/65</t>
  </si>
  <si>
    <t>136,70</t>
  </si>
  <si>
    <t xml:space="preserve">Курган </t>
  </si>
  <si>
    <t xml:space="preserve">Курган/Курганская область </t>
  </si>
  <si>
    <t>155,0</t>
  </si>
  <si>
    <t>165,0</t>
  </si>
  <si>
    <t>165.00</t>
  </si>
  <si>
    <t xml:space="preserve">Курпишев И. </t>
  </si>
  <si>
    <t>Masters 65-69 (18.08.1950)/65</t>
  </si>
  <si>
    <t>Главный судья:</t>
  </si>
  <si>
    <t>Главный секретарь:</t>
  </si>
  <si>
    <t>Старший судья:</t>
  </si>
  <si>
    <t>Боковой судья:</t>
  </si>
  <si>
    <t>Секретарь:</t>
  </si>
  <si>
    <t xml:space="preserve">Абсолютный зачёт </t>
  </si>
  <si>
    <t xml:space="preserve">Женщины </t>
  </si>
  <si>
    <t xml:space="preserve">Юноши </t>
  </si>
  <si>
    <t xml:space="preserve">ФИО </t>
  </si>
  <si>
    <t xml:space="preserve">Возрастная группа </t>
  </si>
  <si>
    <t xml:space="preserve">Весовая </t>
  </si>
  <si>
    <t xml:space="preserve">Сумма </t>
  </si>
  <si>
    <t xml:space="preserve">Schw/Mal </t>
  </si>
  <si>
    <t xml:space="preserve">Юноши 16 - 17 </t>
  </si>
  <si>
    <t xml:space="preserve">48 </t>
  </si>
  <si>
    <t>140,9765</t>
  </si>
  <si>
    <t xml:space="preserve">56 </t>
  </si>
  <si>
    <t>121,0082</t>
  </si>
  <si>
    <t xml:space="preserve">Юниоры </t>
  </si>
  <si>
    <t xml:space="preserve">Юниоры 20 - 23 </t>
  </si>
  <si>
    <t xml:space="preserve">44 </t>
  </si>
  <si>
    <t>100,2946</t>
  </si>
  <si>
    <t xml:space="preserve">Открытая </t>
  </si>
  <si>
    <t xml:space="preserve">52 </t>
  </si>
  <si>
    <t>141,2600</t>
  </si>
  <si>
    <t>140,6645</t>
  </si>
  <si>
    <t>127,2480</t>
  </si>
  <si>
    <t xml:space="preserve">60 </t>
  </si>
  <si>
    <t>125,1060</t>
  </si>
  <si>
    <t>124,2360</t>
  </si>
  <si>
    <t xml:space="preserve">67.5 </t>
  </si>
  <si>
    <t>98,6563</t>
  </si>
  <si>
    <t>88,0695</t>
  </si>
  <si>
    <t xml:space="preserve">Мужчины </t>
  </si>
  <si>
    <t xml:space="preserve">75 </t>
  </si>
  <si>
    <t>169,3678</t>
  </si>
  <si>
    <t xml:space="preserve">100 </t>
  </si>
  <si>
    <t>148,2035</t>
  </si>
  <si>
    <t>126,2691</t>
  </si>
  <si>
    <t xml:space="preserve">82.5 </t>
  </si>
  <si>
    <t>123,1146</t>
  </si>
  <si>
    <t xml:space="preserve">110 </t>
  </si>
  <si>
    <t>95,9107</t>
  </si>
  <si>
    <t>128,2880</t>
  </si>
  <si>
    <t xml:space="preserve">90 </t>
  </si>
  <si>
    <t>155,8465</t>
  </si>
  <si>
    <t>150,3900</t>
  </si>
  <si>
    <t>143,9400</t>
  </si>
  <si>
    <t>143,9110</t>
  </si>
  <si>
    <t>138,9890</t>
  </si>
  <si>
    <t>137,0835</t>
  </si>
  <si>
    <t xml:space="preserve">125 </t>
  </si>
  <si>
    <t>135,9660</t>
  </si>
  <si>
    <t>133,1820</t>
  </si>
  <si>
    <t>131,2357</t>
  </si>
  <si>
    <t>120,8880</t>
  </si>
  <si>
    <t>116,6240</t>
  </si>
  <si>
    <t>110,4375</t>
  </si>
  <si>
    <t>110,1187</t>
  </si>
  <si>
    <t xml:space="preserve">140 </t>
  </si>
  <si>
    <t>83,6765</t>
  </si>
  <si>
    <t xml:space="preserve">Мастера </t>
  </si>
  <si>
    <t xml:space="preserve">Мастера 60 - 64 </t>
  </si>
  <si>
    <t>209,5365</t>
  </si>
  <si>
    <t xml:space="preserve">Мастера 65 - 69 </t>
  </si>
  <si>
    <t>182,4824</t>
  </si>
  <si>
    <t>160,6588</t>
  </si>
  <si>
    <t xml:space="preserve">Мастера 50 - 54 </t>
  </si>
  <si>
    <t>154,1820</t>
  </si>
  <si>
    <t xml:space="preserve">Мастера 40 - 44 </t>
  </si>
  <si>
    <t>132,3339</t>
  </si>
  <si>
    <t xml:space="preserve">Мастера 45 - 49 </t>
  </si>
  <si>
    <t>109,5160</t>
  </si>
  <si>
    <t xml:space="preserve">Командное первенство </t>
  </si>
  <si>
    <t xml:space="preserve">Команда </t>
  </si>
  <si>
    <t xml:space="preserve">Очки </t>
  </si>
  <si>
    <t xml:space="preserve">Участники </t>
  </si>
  <si>
    <t xml:space="preserve">85(5+12+12+5+12+12+12+12+3) </t>
  </si>
  <si>
    <t xml:space="preserve">Чигинцев Евгений, Кульпин Сергей, Рябикова Алёна, Петров Антон, Матушкина Таисия, Девятериков Артём, Козиков Матвей, Бессонова Ольга, Васютин Николай </t>
  </si>
  <si>
    <t xml:space="preserve">36(12+12+12) </t>
  </si>
  <si>
    <t xml:space="preserve">Голованов Евгений, Евсеев Сергей, Голиков Максим </t>
  </si>
  <si>
    <t xml:space="preserve">24(12+12) </t>
  </si>
  <si>
    <t xml:space="preserve">Главатских Полина, Кочнев Евгений </t>
  </si>
  <si>
    <t xml:space="preserve">Кадочников Виктор, Сажин Александр </t>
  </si>
  <si>
    <t xml:space="preserve">22(5+5+12) </t>
  </si>
  <si>
    <t xml:space="preserve">Попков Владимир, Петров Дмитрий, Кириллова Анастасия </t>
  </si>
  <si>
    <t xml:space="preserve">17(12+5) </t>
  </si>
  <si>
    <t xml:space="preserve">Скоркин Роман, Швецова Татьяна </t>
  </si>
  <si>
    <t xml:space="preserve">15(3+12) </t>
  </si>
  <si>
    <t xml:space="preserve">Иванцова Танзиля, Тяжельников Вячеслав </t>
  </si>
  <si>
    <t xml:space="preserve">12(12) </t>
  </si>
  <si>
    <t xml:space="preserve">Давлеткиреева Лилия </t>
  </si>
  <si>
    <t xml:space="preserve">Захватов Александр </t>
  </si>
  <si>
    <t xml:space="preserve">Пеяс Станислав </t>
  </si>
  <si>
    <t xml:space="preserve">Пособилов Эдуард </t>
  </si>
  <si>
    <t xml:space="preserve">Михалева Татьяна </t>
  </si>
  <si>
    <t xml:space="preserve">Соляник Юрий </t>
  </si>
  <si>
    <t xml:space="preserve">Белых Евгений </t>
  </si>
  <si>
    <t xml:space="preserve">Чернавских Аркадий </t>
  </si>
  <si>
    <t xml:space="preserve">Тяжельников Вячеслав </t>
  </si>
  <si>
    <t xml:space="preserve">Запольский Александр </t>
  </si>
  <si>
    <t xml:space="preserve">Лисова Юлия </t>
  </si>
  <si>
    <t xml:space="preserve">5(5) </t>
  </si>
  <si>
    <t xml:space="preserve">Сафитдинов Альберт </t>
  </si>
  <si>
    <t xml:space="preserve">3(3) </t>
  </si>
  <si>
    <t xml:space="preserve">Бызов Вячеслав </t>
  </si>
  <si>
    <t>Открытый Чемпионат Европы 2016 СОВ пауэрлифтинг
16 - 17.Апрель.2016</t>
  </si>
  <si>
    <t>Егорова Яна</t>
  </si>
  <si>
    <t>Teen 18-19 (14.03.1998)/18</t>
  </si>
  <si>
    <t>44,40</t>
  </si>
  <si>
    <t xml:space="preserve">Камышлов/Свердловская область </t>
  </si>
  <si>
    <t>60,0</t>
  </si>
  <si>
    <t>70,0</t>
  </si>
  <si>
    <t>35,0</t>
  </si>
  <si>
    <t>45,0</t>
  </si>
  <si>
    <t>65,0</t>
  </si>
  <si>
    <t>75,0</t>
  </si>
  <si>
    <t>Семянников Алексей</t>
  </si>
  <si>
    <t>Teen 13-15 (03.11.2001)/14</t>
  </si>
  <si>
    <t>43,20</t>
  </si>
  <si>
    <t xml:space="preserve">Камышлов </t>
  </si>
  <si>
    <t>55,0</t>
  </si>
  <si>
    <t>67,5</t>
  </si>
  <si>
    <t>40,0</t>
  </si>
  <si>
    <t>47,5</t>
  </si>
  <si>
    <t>Усуров Александр</t>
  </si>
  <si>
    <t>Teen 13-15 (14.11.2001)/14</t>
  </si>
  <si>
    <t>50,60</t>
  </si>
  <si>
    <t>50,0</t>
  </si>
  <si>
    <t>57,5</t>
  </si>
  <si>
    <t>62,5</t>
  </si>
  <si>
    <t>Кочиев Дмитрий</t>
  </si>
  <si>
    <t>Juniors 20-23 (23.05.1992)/23</t>
  </si>
  <si>
    <t>51,85</t>
  </si>
  <si>
    <t xml:space="preserve">Виктория </t>
  </si>
  <si>
    <t>97,5</t>
  </si>
  <si>
    <t>106,0</t>
  </si>
  <si>
    <t>73,5</t>
  </si>
  <si>
    <t>77,5</t>
  </si>
  <si>
    <t>Усуров Виктор</t>
  </si>
  <si>
    <t>Teen 16-17 (04.07.1999)/16</t>
  </si>
  <si>
    <t>55,45</t>
  </si>
  <si>
    <t>72,5</t>
  </si>
  <si>
    <t>Кузьменко Павел</t>
  </si>
  <si>
    <t>Teen 18-19 (27.07.1996)/19</t>
  </si>
  <si>
    <t>52,75</t>
  </si>
  <si>
    <t>Пульников Михаил</t>
  </si>
  <si>
    <t>Teen 16-17 (11.07.1998)/17</t>
  </si>
  <si>
    <t>56,80</t>
  </si>
  <si>
    <t>95,0</t>
  </si>
  <si>
    <t>Сергеев Владимир</t>
  </si>
  <si>
    <t>Open (15.10.1985)/30</t>
  </si>
  <si>
    <t>58,10</t>
  </si>
  <si>
    <t>102,5</t>
  </si>
  <si>
    <t>160,0</t>
  </si>
  <si>
    <t>177,5</t>
  </si>
  <si>
    <t>Упоров Артем</t>
  </si>
  <si>
    <t>Teen 13-15 (27.04.2001)/14</t>
  </si>
  <si>
    <t>66,20</t>
  </si>
  <si>
    <t>150,0</t>
  </si>
  <si>
    <t>Упоров Антон</t>
  </si>
  <si>
    <t>65,60</t>
  </si>
  <si>
    <t>Киселев Виктор</t>
  </si>
  <si>
    <t>Teen 16-17 (25.10.1999)/16</t>
  </si>
  <si>
    <t>61,60</t>
  </si>
  <si>
    <t>Бадретдинов Ильдар</t>
  </si>
  <si>
    <t>Juniors 20-23 (26.05.1994)/21</t>
  </si>
  <si>
    <t>67,40</t>
  </si>
  <si>
    <t>Климов Максим</t>
  </si>
  <si>
    <t>Teen 18-19 (25.10.1996)/19</t>
  </si>
  <si>
    <t>71,20</t>
  </si>
  <si>
    <t>Хромцов Георгий</t>
  </si>
  <si>
    <t>Teen 18-19 (16.02.1998)/18</t>
  </si>
  <si>
    <t>69,35</t>
  </si>
  <si>
    <t>87,5</t>
  </si>
  <si>
    <t>Желев Никита</t>
  </si>
  <si>
    <t>Juniors 20-23 (30.08.1994)/21</t>
  </si>
  <si>
    <t>Иванов Дмитрий</t>
  </si>
  <si>
    <t>Open (14.08.1989)/26</t>
  </si>
  <si>
    <t>71,95</t>
  </si>
  <si>
    <t>Уймин Алексей</t>
  </si>
  <si>
    <t>Open (15.02.1990)/26</t>
  </si>
  <si>
    <t>72,80</t>
  </si>
  <si>
    <t>Бородинов Пётр</t>
  </si>
  <si>
    <t>Juniors 20-23 (03.09.1994)/21</t>
  </si>
  <si>
    <t>83,20</t>
  </si>
  <si>
    <t>147,5</t>
  </si>
  <si>
    <t>162,5</t>
  </si>
  <si>
    <t>132,5</t>
  </si>
  <si>
    <t>Зубов Павел</t>
  </si>
  <si>
    <t>Open (04.03.1990)/26</t>
  </si>
  <si>
    <t>85,35</t>
  </si>
  <si>
    <t>117,5</t>
  </si>
  <si>
    <t>Ладейщиков Андрей</t>
  </si>
  <si>
    <t>Open (27.10.1984)/31</t>
  </si>
  <si>
    <t>97,45</t>
  </si>
  <si>
    <t>Богатырев Андрей</t>
  </si>
  <si>
    <t>Masters 55-59 (10.07.1960)/55</t>
  </si>
  <si>
    <t>106,20</t>
  </si>
  <si>
    <t xml:space="preserve">Шадринск/Курганская область </t>
  </si>
  <si>
    <t xml:space="preserve">Юноши 18 - 19 </t>
  </si>
  <si>
    <t>215,9061</t>
  </si>
  <si>
    <t xml:space="preserve">Юноши 13 - 15 </t>
  </si>
  <si>
    <t>340,0</t>
  </si>
  <si>
    <t>308,9243</t>
  </si>
  <si>
    <t>310,0</t>
  </si>
  <si>
    <t>301,7019</t>
  </si>
  <si>
    <t>292,5</t>
  </si>
  <si>
    <t>292,3163</t>
  </si>
  <si>
    <t>405,0</t>
  </si>
  <si>
    <t>291,9337</t>
  </si>
  <si>
    <t>305,0</t>
  </si>
  <si>
    <t>279,4868</t>
  </si>
  <si>
    <t>278,7340</t>
  </si>
  <si>
    <t>307,5</t>
  </si>
  <si>
    <t>275,0265</t>
  </si>
  <si>
    <t>290,0</t>
  </si>
  <si>
    <t>269,7592</t>
  </si>
  <si>
    <t>165,2805</t>
  </si>
  <si>
    <t>510,0</t>
  </si>
  <si>
    <t>320,2871</t>
  </si>
  <si>
    <t>320,0</t>
  </si>
  <si>
    <t>305,5040</t>
  </si>
  <si>
    <t>337,5</t>
  </si>
  <si>
    <t>250,2009</t>
  </si>
  <si>
    <t>350,0</t>
  </si>
  <si>
    <t>244,0095</t>
  </si>
  <si>
    <t>580,0</t>
  </si>
  <si>
    <t>325,1770</t>
  </si>
  <si>
    <t>447,5</t>
  </si>
  <si>
    <t>307,4549</t>
  </si>
  <si>
    <t>505,0</t>
  </si>
  <si>
    <t>305,6513</t>
  </si>
  <si>
    <t>294,2100</t>
  </si>
  <si>
    <t>Открытый Чемпионат Европы 2016 СОВ жим лежа
16 - 17.Апрель.2016</t>
  </si>
  <si>
    <t>Джумазода Шифои</t>
  </si>
  <si>
    <t>Open (27.02.1992)/24</t>
  </si>
  <si>
    <t>42,75</t>
  </si>
  <si>
    <t>30,0</t>
  </si>
  <si>
    <t>37,5</t>
  </si>
  <si>
    <t>Капитан Яна</t>
  </si>
  <si>
    <t>Juniors 20-23 (30.07.1994)/21</t>
  </si>
  <si>
    <t>47,40</t>
  </si>
  <si>
    <t xml:space="preserve">Сысерть </t>
  </si>
  <si>
    <t xml:space="preserve">Сысерть/Свердловская область </t>
  </si>
  <si>
    <t>42,5</t>
  </si>
  <si>
    <t>Клевакина Мария</t>
  </si>
  <si>
    <t>Open (25.05.1984)/31</t>
  </si>
  <si>
    <t>49,00</t>
  </si>
  <si>
    <t>Аминджонов Джонибек</t>
  </si>
  <si>
    <t>Teen 13-15 (09.01.2001)/15</t>
  </si>
  <si>
    <t>52,00</t>
  </si>
  <si>
    <t>Чорный Павел</t>
  </si>
  <si>
    <t>Juniors 20-23 (10.12.1995)/20</t>
  </si>
  <si>
    <t>48,00</t>
  </si>
  <si>
    <t>Бельницкий Арсентий</t>
  </si>
  <si>
    <t>Open (21.05.1991)/24</t>
  </si>
  <si>
    <t>47,20</t>
  </si>
  <si>
    <t>Ершов Игорь</t>
  </si>
  <si>
    <t>Open (20.04.1977)/38</t>
  </si>
  <si>
    <t>50,00</t>
  </si>
  <si>
    <t xml:space="preserve">Арти/Свердловская </t>
  </si>
  <si>
    <t>Смышляев Никита</t>
  </si>
  <si>
    <t>Juniors 20-23 (17.05.1995)/20</t>
  </si>
  <si>
    <t>Финогенов Дмитрий</t>
  </si>
  <si>
    <t>Juniors 20-23 (22.08.1993)/22</t>
  </si>
  <si>
    <t>54,70</t>
  </si>
  <si>
    <t>Журавлев Виталий</t>
  </si>
  <si>
    <t>Juniors 20-23 (12.11.1992)/23</t>
  </si>
  <si>
    <t>58,70</t>
  </si>
  <si>
    <t>Чиркин Виталий</t>
  </si>
  <si>
    <t>Open (15.05.1981)/34</t>
  </si>
  <si>
    <t>59,00</t>
  </si>
  <si>
    <t>127,5</t>
  </si>
  <si>
    <t>Симанов Игорь</t>
  </si>
  <si>
    <t>Open (17.07.1980)/35</t>
  </si>
  <si>
    <t>58,00</t>
  </si>
  <si>
    <t>Щербаков Дмитрий</t>
  </si>
  <si>
    <t>Open (05.07.1980)/35</t>
  </si>
  <si>
    <t>59,40</t>
  </si>
  <si>
    <t xml:space="preserve">Арти </t>
  </si>
  <si>
    <t>Здравомыслов Александр</t>
  </si>
  <si>
    <t>Open (16.04.1980)/36</t>
  </si>
  <si>
    <t>57,90</t>
  </si>
  <si>
    <t>52,5</t>
  </si>
  <si>
    <t>Алексанов Эдуард</t>
  </si>
  <si>
    <t>Masters 40-44 (15.06.1973)/42</t>
  </si>
  <si>
    <t>57,65</t>
  </si>
  <si>
    <t>Мурзин Алексей</t>
  </si>
  <si>
    <t>Juniors 20-23 (20.10.1993)/22</t>
  </si>
  <si>
    <t>66,00</t>
  </si>
  <si>
    <t>Кислицын Михаил</t>
  </si>
  <si>
    <t>Juniors 20-23 (26.02.1995)/21</t>
  </si>
  <si>
    <t>60,95</t>
  </si>
  <si>
    <t>Туз Валерий</t>
  </si>
  <si>
    <t>Open (07.11.1983)/32</t>
  </si>
  <si>
    <t>64,85</t>
  </si>
  <si>
    <t>20,0</t>
  </si>
  <si>
    <t>25,0</t>
  </si>
  <si>
    <t>27,5</t>
  </si>
  <si>
    <t xml:space="preserve">Камалтдинов Р. </t>
  </si>
  <si>
    <t>Амутных Александр</t>
  </si>
  <si>
    <t>Masters 40-44 (25.03.1973)/43</t>
  </si>
  <si>
    <t>62,95</t>
  </si>
  <si>
    <t xml:space="preserve">Карпинск/Свердловская область </t>
  </si>
  <si>
    <t>Шаяхметов Артур</t>
  </si>
  <si>
    <t>Teen 18-19 (12.03.1997)/19</t>
  </si>
  <si>
    <t>74,30</t>
  </si>
  <si>
    <t>Чуркин Денис</t>
  </si>
  <si>
    <t>Open (08.02.1979)/37</t>
  </si>
  <si>
    <t>68,50</t>
  </si>
  <si>
    <t>82,5</t>
  </si>
  <si>
    <t>Пожарский Александр</t>
  </si>
  <si>
    <t>Open (12.10.1990)/25</t>
  </si>
  <si>
    <t>70,20</t>
  </si>
  <si>
    <t>Симонов Никита</t>
  </si>
  <si>
    <t>Open (10.05.1989)/26</t>
  </si>
  <si>
    <t>81,35</t>
  </si>
  <si>
    <t>Чушкин Павел</t>
  </si>
  <si>
    <t>Open (14.05.1987)/28</t>
  </si>
  <si>
    <t>75,90</t>
  </si>
  <si>
    <t>Романовский Александр</t>
  </si>
  <si>
    <t>Open (20.08.1981)/34</t>
  </si>
  <si>
    <t xml:space="preserve">Урай/Ханты-Мансийский авт. окр. </t>
  </si>
  <si>
    <t>Зайцев Владимир</t>
  </si>
  <si>
    <t>Open (04.07.1981)/34</t>
  </si>
  <si>
    <t>97,20</t>
  </si>
  <si>
    <t>Колесников Анатолий</t>
  </si>
  <si>
    <t>Masters 40-44 (31.10.1975)/40</t>
  </si>
  <si>
    <t>100,00</t>
  </si>
  <si>
    <t>Щербаков Сергей</t>
  </si>
  <si>
    <t>Masters 55-59 (18.05.1957)/58</t>
  </si>
  <si>
    <t>97,40</t>
  </si>
  <si>
    <t>Микушин Сергей</t>
  </si>
  <si>
    <t>Open (20.01.1984)/32</t>
  </si>
  <si>
    <t>104,00</t>
  </si>
  <si>
    <t>Пастухов Евгений</t>
  </si>
  <si>
    <t>Open (24.05.1985)/30</t>
  </si>
  <si>
    <t>101,00</t>
  </si>
  <si>
    <t>Бызов Евгений</t>
  </si>
  <si>
    <t>Masters 45-49 (06.10.1970)/45</t>
  </si>
  <si>
    <t>107,80</t>
  </si>
  <si>
    <t xml:space="preserve">Medwed barbell </t>
  </si>
  <si>
    <t>Попов Степан</t>
  </si>
  <si>
    <t>Teen 18-19 (10.06.1997)/18</t>
  </si>
  <si>
    <t>122,50</t>
  </si>
  <si>
    <t>45,2986</t>
  </si>
  <si>
    <t>45,7807</t>
  </si>
  <si>
    <t>39,7040</t>
  </si>
  <si>
    <t>89,8216</t>
  </si>
  <si>
    <t>41,6818</t>
  </si>
  <si>
    <t>27,8470</t>
  </si>
  <si>
    <t>88,7255</t>
  </si>
  <si>
    <t>83,1600</t>
  </si>
  <si>
    <t>59,3069</t>
  </si>
  <si>
    <t>54,4127</t>
  </si>
  <si>
    <t>52,3746</t>
  </si>
  <si>
    <t>44,8772</t>
  </si>
  <si>
    <t>103,3875</t>
  </si>
  <si>
    <t>85,4880</t>
  </si>
  <si>
    <t>84,2200</t>
  </si>
  <si>
    <t>79,0975</t>
  </si>
  <si>
    <t>76,6115</t>
  </si>
  <si>
    <t>70,3417</t>
  </si>
  <si>
    <t>70,1625</t>
  </si>
  <si>
    <t>67,2705</t>
  </si>
  <si>
    <t>63,6508</t>
  </si>
  <si>
    <t>61,7505</t>
  </si>
  <si>
    <t>60,8940</t>
  </si>
  <si>
    <t>50,6220</t>
  </si>
  <si>
    <t>43,8375</t>
  </si>
  <si>
    <t>20,7061</t>
  </si>
  <si>
    <t xml:space="preserve">Мастера 55 - 59 </t>
  </si>
  <si>
    <t>107,6035</t>
  </si>
  <si>
    <t>83,3650</t>
  </si>
  <si>
    <t>49,8600</t>
  </si>
  <si>
    <t>49,2903</t>
  </si>
  <si>
    <t>47,0376</t>
  </si>
  <si>
    <t>Открытый Чемпионат Европы 2016 СОВ становая тяга
16 - 17.Апрель.2016</t>
  </si>
  <si>
    <t>Козлов Алексей</t>
  </si>
  <si>
    <t>Masters 45-49 (19.05.1970)/45</t>
  </si>
  <si>
    <t>280,0</t>
  </si>
  <si>
    <t>302,5</t>
  </si>
  <si>
    <t xml:space="preserve">Латышев В. </t>
  </si>
  <si>
    <t>170,0812</t>
  </si>
  <si>
    <t>155,1158</t>
  </si>
  <si>
    <t>Открытый Чемпионат Европы 2016 СОВ присед
16 - 17.Апрель.2016</t>
  </si>
  <si>
    <t>Открытый Чемпионат Европы 2016 ПРО пауэрлифтинг без экипировки
16 - 17.Апрель.2016</t>
  </si>
  <si>
    <t>Майзнер Анна</t>
  </si>
  <si>
    <t>Teen 16-17 (09.01.1999)/17</t>
  </si>
  <si>
    <t>53,70</t>
  </si>
  <si>
    <t xml:space="preserve">Попов В. </t>
  </si>
  <si>
    <t>Мелентьев Евгений</t>
  </si>
  <si>
    <t>Open (07.10.1991)/24</t>
  </si>
  <si>
    <t>77,10</t>
  </si>
  <si>
    <t xml:space="preserve">Белорецк </t>
  </si>
  <si>
    <t xml:space="preserve">Белорецк/Башкортостан </t>
  </si>
  <si>
    <t>250,0</t>
  </si>
  <si>
    <t>Пшеницын Владимир</t>
  </si>
  <si>
    <t>Open (06.05.1982)/33</t>
  </si>
  <si>
    <t>89,40</t>
  </si>
  <si>
    <t xml:space="preserve">Лысьва </t>
  </si>
  <si>
    <t xml:space="preserve">Лысьва/Пермский край </t>
  </si>
  <si>
    <t>152,5</t>
  </si>
  <si>
    <t xml:space="preserve">Голышев </t>
  </si>
  <si>
    <t>Шелепов Андрей</t>
  </si>
  <si>
    <t>Masters 45-49 (04.05.1970)/45</t>
  </si>
  <si>
    <t>86,80</t>
  </si>
  <si>
    <t>Мусин Шамиль</t>
  </si>
  <si>
    <t>Juniors 20-23 (04.10.1992)/23</t>
  </si>
  <si>
    <t>97,80</t>
  </si>
  <si>
    <t xml:space="preserve">Оренбург </t>
  </si>
  <si>
    <t xml:space="preserve">Оренбург/Оренбургская область </t>
  </si>
  <si>
    <t>275,0</t>
  </si>
  <si>
    <t xml:space="preserve">Ковалёв А. </t>
  </si>
  <si>
    <t>Open (04.10.1992)/23</t>
  </si>
  <si>
    <t>Черников Максим</t>
  </si>
  <si>
    <t>Open (05.07.1989)/26</t>
  </si>
  <si>
    <t>99,90</t>
  </si>
  <si>
    <t xml:space="preserve">Маслаков Д. </t>
  </si>
  <si>
    <t>Кучин Евгений</t>
  </si>
  <si>
    <t>Open (20.02.1987)/29</t>
  </si>
  <si>
    <t>91,30</t>
  </si>
  <si>
    <t>Романов Пётр</t>
  </si>
  <si>
    <t>Open (03.12.1985)/30</t>
  </si>
  <si>
    <t>96,50</t>
  </si>
  <si>
    <t>Шишкин Евгений</t>
  </si>
  <si>
    <t>Masters 40-44 (16.06.1973)/42</t>
  </si>
  <si>
    <t>92,40</t>
  </si>
  <si>
    <t xml:space="preserve">Шадринск </t>
  </si>
  <si>
    <t>182,5</t>
  </si>
  <si>
    <t xml:space="preserve">Клюев И. </t>
  </si>
  <si>
    <t>Мясников Вячеслав</t>
  </si>
  <si>
    <t>Masters 45-49 (07.12.1970)/45</t>
  </si>
  <si>
    <t>99,10</t>
  </si>
  <si>
    <t>246,0</t>
  </si>
  <si>
    <t xml:space="preserve">Берман Я. </t>
  </si>
  <si>
    <t>Шестаков Вадим</t>
  </si>
  <si>
    <t>Masters 50-54 (20.04.1962)/53</t>
  </si>
  <si>
    <t>96,15</t>
  </si>
  <si>
    <t>Сысоев Василий</t>
  </si>
  <si>
    <t>Open (29.05.1991)/24</t>
  </si>
  <si>
    <t>103,40</t>
  </si>
  <si>
    <t xml:space="preserve">Кириллов С. </t>
  </si>
  <si>
    <t>Алексеев Алексей</t>
  </si>
  <si>
    <t>Open (09.12.1980)/35</t>
  </si>
  <si>
    <t>102,80</t>
  </si>
  <si>
    <t xml:space="preserve">Ташлыков А. </t>
  </si>
  <si>
    <t>Потапов Владимир</t>
  </si>
  <si>
    <t>Masters 60-64 (22.05.1954)/61</t>
  </si>
  <si>
    <t>107,40</t>
  </si>
  <si>
    <t>Унесихин Евгений</t>
  </si>
  <si>
    <t>Juniors 20-23 (23.08.1993)/22</t>
  </si>
  <si>
    <t>112,90</t>
  </si>
  <si>
    <t xml:space="preserve">Нижняя Тура </t>
  </si>
  <si>
    <t xml:space="preserve">Нижняя Тура/Свердловская область </t>
  </si>
  <si>
    <t>300,0</t>
  </si>
  <si>
    <t>Лопин Владимир</t>
  </si>
  <si>
    <t>Open (21.01.1983)/33</t>
  </si>
  <si>
    <t>112,50</t>
  </si>
  <si>
    <t>330,0</t>
  </si>
  <si>
    <t>335,0</t>
  </si>
  <si>
    <t>315,0</t>
  </si>
  <si>
    <t>Ташлыков Алексей</t>
  </si>
  <si>
    <t>Masters 40-44 (16.07.1971)/44</t>
  </si>
  <si>
    <t>118,90</t>
  </si>
  <si>
    <t xml:space="preserve">Качканар </t>
  </si>
  <si>
    <t xml:space="preserve">Качканар/Свердловская область </t>
  </si>
  <si>
    <t>173,3276</t>
  </si>
  <si>
    <t>770,0</t>
  </si>
  <si>
    <t>414,7474</t>
  </si>
  <si>
    <t>705,0</t>
  </si>
  <si>
    <t>394,5885</t>
  </si>
  <si>
    <t>870,0</t>
  </si>
  <si>
    <t>464,3190</t>
  </si>
  <si>
    <t>595,0</t>
  </si>
  <si>
    <t>387,0475</t>
  </si>
  <si>
    <t>657,5</t>
  </si>
  <si>
    <t>386,4128</t>
  </si>
  <si>
    <t>385,4235</t>
  </si>
  <si>
    <t>652,5</t>
  </si>
  <si>
    <t>361,6808</t>
  </si>
  <si>
    <t>605,0</t>
  </si>
  <si>
    <t>351,1420</t>
  </si>
  <si>
    <t>555,0</t>
  </si>
  <si>
    <t>304,0845</t>
  </si>
  <si>
    <t>535,0</t>
  </si>
  <si>
    <t>491,0391</t>
  </si>
  <si>
    <t>640,0</t>
  </si>
  <si>
    <t>373,1215</t>
  </si>
  <si>
    <t>625,0</t>
  </si>
  <si>
    <t>340,2300</t>
  </si>
  <si>
    <t>445,0</t>
  </si>
  <si>
    <t>321,7049</t>
  </si>
  <si>
    <t>485,0</t>
  </si>
  <si>
    <t>282,1189</t>
  </si>
  <si>
    <t xml:space="preserve">46(12+12+5+5+12) </t>
  </si>
  <si>
    <t xml:space="preserve">Шестаков Вадим, Сысоев Василий, Черников Максим, Алексеев Алексей, Мясников Вячеслав </t>
  </si>
  <si>
    <t xml:space="preserve">Мусин Шамиль, Мусин Шамиль </t>
  </si>
  <si>
    <t xml:space="preserve">Майзнер Анна </t>
  </si>
  <si>
    <t xml:space="preserve">Ташлыков Алексей </t>
  </si>
  <si>
    <t xml:space="preserve">Шишкин Евгений </t>
  </si>
  <si>
    <t xml:space="preserve">Мелентьев Евгений </t>
  </si>
  <si>
    <t xml:space="preserve">Унесихин Евгений </t>
  </si>
  <si>
    <t xml:space="preserve">Лопин Владимир </t>
  </si>
  <si>
    <t xml:space="preserve">Потапов Владимир </t>
  </si>
  <si>
    <t xml:space="preserve">Пшеницын Владимир </t>
  </si>
  <si>
    <t xml:space="preserve">Кучин Евгений </t>
  </si>
  <si>
    <t>Открытый Чемпионат Европы 2016 ПРО пауэрлифтинг в экипировке
16 - 17.Апрель.2016</t>
  </si>
  <si>
    <t>Глазунов Анатолий</t>
  </si>
  <si>
    <t>Open (09.02.1972)/44</t>
  </si>
  <si>
    <t>74,15</t>
  </si>
  <si>
    <t xml:space="preserve">Михайловск </t>
  </si>
  <si>
    <t xml:space="preserve">Михайловск/Свердловская область </t>
  </si>
  <si>
    <t>331,0</t>
  </si>
  <si>
    <t>262,5</t>
  </si>
  <si>
    <t xml:space="preserve">Глазунов В. </t>
  </si>
  <si>
    <t>Митрофанов Андрей</t>
  </si>
  <si>
    <t>Open (08.08.1978)/37</t>
  </si>
  <si>
    <t>81,90</t>
  </si>
  <si>
    <t xml:space="preserve">Джим Холл </t>
  </si>
  <si>
    <t>325,0</t>
  </si>
  <si>
    <t>345,0</t>
  </si>
  <si>
    <t>Корюков Александр</t>
  </si>
  <si>
    <t>Open (15.04.1991)/25</t>
  </si>
  <si>
    <t>123,80</t>
  </si>
  <si>
    <t>355,0</t>
  </si>
  <si>
    <t>365,0</t>
  </si>
  <si>
    <t xml:space="preserve">Гонцов А. </t>
  </si>
  <si>
    <t>763,5</t>
  </si>
  <si>
    <t>511,8886</t>
  </si>
  <si>
    <t>780,0</t>
  </si>
  <si>
    <t>485,4720</t>
  </si>
  <si>
    <t xml:space="preserve">Митрофанов Андрей </t>
  </si>
  <si>
    <t xml:space="preserve">Глазунов Анатолий </t>
  </si>
  <si>
    <t>Открытый Чемпионат Европы 2016 ПРО жим лежа без экипировки
16 - 17.Апрель.2016</t>
  </si>
  <si>
    <t>Мотрич Мария</t>
  </si>
  <si>
    <t>Open (16.11.1991)/24</t>
  </si>
  <si>
    <t>67,50</t>
  </si>
  <si>
    <t xml:space="preserve">Ялта </t>
  </si>
  <si>
    <t xml:space="preserve">Никифоров С. </t>
  </si>
  <si>
    <t>Лебедев Юрий</t>
  </si>
  <si>
    <t>Masters 75-79 (26.06.1938)/77</t>
  </si>
  <si>
    <t>64,75</t>
  </si>
  <si>
    <t>Хамидуллин Роман</t>
  </si>
  <si>
    <t>Open (14.08.1983)/32</t>
  </si>
  <si>
    <t>72,75</t>
  </si>
  <si>
    <t>172,5</t>
  </si>
  <si>
    <t>Переладов Геннадий</t>
  </si>
  <si>
    <t>Masters 75-79 (06.06.1936)/79</t>
  </si>
  <si>
    <t>71,85</t>
  </si>
  <si>
    <t xml:space="preserve">Среднеуральск </t>
  </si>
  <si>
    <t xml:space="preserve">Среднеуральск/Свердловская область </t>
  </si>
  <si>
    <t>Бисеров Александр</t>
  </si>
  <si>
    <t>Masters 70-74 (18.08.1943)/72</t>
  </si>
  <si>
    <t>76,70</t>
  </si>
  <si>
    <t xml:space="preserve">Бояршинов И.В. </t>
  </si>
  <si>
    <t>Хыдывов Уллубий</t>
  </si>
  <si>
    <t>Teen 18-19 (02.07.1996)/19</t>
  </si>
  <si>
    <t>89,35</t>
  </si>
  <si>
    <t xml:space="preserve">Щукин В. </t>
  </si>
  <si>
    <t>Попов Артём</t>
  </si>
  <si>
    <t>Teen 18-19 (23.12.1997)/18</t>
  </si>
  <si>
    <t>83,15</t>
  </si>
  <si>
    <t xml:space="preserve">Невьянск </t>
  </si>
  <si>
    <t xml:space="preserve">Невьянск/Свердловская область </t>
  </si>
  <si>
    <t>137,0</t>
  </si>
  <si>
    <t xml:space="preserve">Точилов В. </t>
  </si>
  <si>
    <t>Фактулин Андрей</t>
  </si>
  <si>
    <t>Open (17.12.1991)/24</t>
  </si>
  <si>
    <t>89,45</t>
  </si>
  <si>
    <t>202,5</t>
  </si>
  <si>
    <t>212,5</t>
  </si>
  <si>
    <t xml:space="preserve">Гасанов И. </t>
  </si>
  <si>
    <t>Саидов Талех</t>
  </si>
  <si>
    <t>Open (10.02.1977)/39</t>
  </si>
  <si>
    <t>89,20</t>
  </si>
  <si>
    <t xml:space="preserve">Булычев А. </t>
  </si>
  <si>
    <t>Арбузов Станислав</t>
  </si>
  <si>
    <t>Open (03.04.1989)/27</t>
  </si>
  <si>
    <t xml:space="preserve">Богданович </t>
  </si>
  <si>
    <t>Смирнов Андрей</t>
  </si>
  <si>
    <t>Open (28.11.1982)/33</t>
  </si>
  <si>
    <t>89,25</t>
  </si>
  <si>
    <t>Чесноков Фёдор</t>
  </si>
  <si>
    <t>Open (16.02.1947)/69</t>
  </si>
  <si>
    <t>90,00</t>
  </si>
  <si>
    <t xml:space="preserve">Верхняя Пышма </t>
  </si>
  <si>
    <t xml:space="preserve">Верхняя Пышма/Свердловская область </t>
  </si>
  <si>
    <t xml:space="preserve">Чернозубов В. </t>
  </si>
  <si>
    <t>Masters 65-69 (16.02.1947)/69</t>
  </si>
  <si>
    <t>Поповских Максим</t>
  </si>
  <si>
    <t>Teen 18-19 (25.07.1996)/19</t>
  </si>
  <si>
    <t>142,5</t>
  </si>
  <si>
    <t>Иванов Денис</t>
  </si>
  <si>
    <t>Juniors 20-23 (18.07.1993)/22</t>
  </si>
  <si>
    <t>98,00</t>
  </si>
  <si>
    <t>167,5</t>
  </si>
  <si>
    <t>Прозоров Александр</t>
  </si>
  <si>
    <t>Open (12.10.1973)/42</t>
  </si>
  <si>
    <t>192,5</t>
  </si>
  <si>
    <t>Клевакин Арсений</t>
  </si>
  <si>
    <t>Open (15.10.1979)/36</t>
  </si>
  <si>
    <t>96,30</t>
  </si>
  <si>
    <t xml:space="preserve">Шаля </t>
  </si>
  <si>
    <t xml:space="preserve">Шаля/Свердловская </t>
  </si>
  <si>
    <t xml:space="preserve">Диянов А. </t>
  </si>
  <si>
    <t>Сероваев Константин</t>
  </si>
  <si>
    <t>Open (03.02.1985)/31</t>
  </si>
  <si>
    <t>Masters 40-44 (12.10.1973)/42</t>
  </si>
  <si>
    <t>Бязров Гамлет</t>
  </si>
  <si>
    <t>Masters 45-49 (11.11.1969)/46</t>
  </si>
  <si>
    <t>99,30</t>
  </si>
  <si>
    <t xml:space="preserve">Ратиборец </t>
  </si>
  <si>
    <t xml:space="preserve">Нефёдов </t>
  </si>
  <si>
    <t>Спирянин Александр</t>
  </si>
  <si>
    <t>Open (19.12.1977)/38</t>
  </si>
  <si>
    <t>108,70</t>
  </si>
  <si>
    <t xml:space="preserve">Митрофанов А. </t>
  </si>
  <si>
    <t>Цыгуров Дмитрий</t>
  </si>
  <si>
    <t>Open (29.04.1986)/29</t>
  </si>
  <si>
    <t>102,90</t>
  </si>
  <si>
    <t>Берло Александр</t>
  </si>
  <si>
    <t>Open (06.01.1976)/40</t>
  </si>
  <si>
    <t>108,30</t>
  </si>
  <si>
    <t xml:space="preserve">Казахстан </t>
  </si>
  <si>
    <t xml:space="preserve">Караганда/ </t>
  </si>
  <si>
    <t xml:space="preserve">Tosunidi F. </t>
  </si>
  <si>
    <t>Masters 40-44 (06.01.1976)/40</t>
  </si>
  <si>
    <t>Чернышев Алексей</t>
  </si>
  <si>
    <t>Masters 40-44 (03.01.1975)/41</t>
  </si>
  <si>
    <t>104,80</t>
  </si>
  <si>
    <t>Коровин Евгений</t>
  </si>
  <si>
    <t>Masters 45-49 (02.10.1969)/46</t>
  </si>
  <si>
    <t>108,80</t>
  </si>
  <si>
    <t xml:space="preserve">Мизёв Е. </t>
  </si>
  <si>
    <t>Писаченко Олег</t>
  </si>
  <si>
    <t>Masters 50-54 (12.11.1965)/50</t>
  </si>
  <si>
    <t>108,50</t>
  </si>
  <si>
    <t>Стрижов Михаил</t>
  </si>
  <si>
    <t>Masters 50-54 (22.09.1964)/51</t>
  </si>
  <si>
    <t>107,60</t>
  </si>
  <si>
    <t xml:space="preserve">Палей А. </t>
  </si>
  <si>
    <t>Ещенко Игорь</t>
  </si>
  <si>
    <t>Open (27.05.1991)/24</t>
  </si>
  <si>
    <t>110,40</t>
  </si>
  <si>
    <t>ВЕСОВАЯ КАТЕГОРИЯ   140+</t>
  </si>
  <si>
    <t>Никифоров Александр</t>
  </si>
  <si>
    <t>Open (18.10.1973)/42</t>
  </si>
  <si>
    <t>146,40</t>
  </si>
  <si>
    <t xml:space="preserve">Сероваев К. </t>
  </si>
  <si>
    <t>Masters 40-44 (18.10.1973)/42</t>
  </si>
  <si>
    <t>72,0344</t>
  </si>
  <si>
    <t>86,4240</t>
  </si>
  <si>
    <t>85,5982</t>
  </si>
  <si>
    <t>84,8779</t>
  </si>
  <si>
    <t>95,9975</t>
  </si>
  <si>
    <t>124,8437</t>
  </si>
  <si>
    <t>117,4466</t>
  </si>
  <si>
    <t>113,0010</t>
  </si>
  <si>
    <t>112,2785</t>
  </si>
  <si>
    <t xml:space="preserve">140+ </t>
  </si>
  <si>
    <t>111,7350</t>
  </si>
  <si>
    <t>107,2000</t>
  </si>
  <si>
    <t>106,6450</t>
  </si>
  <si>
    <t>105,9300</t>
  </si>
  <si>
    <t>105,7312</t>
  </si>
  <si>
    <t>104,9735</t>
  </si>
  <si>
    <t>102,4900</t>
  </si>
  <si>
    <t>100,9875</t>
  </si>
  <si>
    <t>173,8107</t>
  </si>
  <si>
    <t>119,9932</t>
  </si>
  <si>
    <t>118,5663</t>
  </si>
  <si>
    <t>112,7406</t>
  </si>
  <si>
    <t xml:space="preserve">Мастера 70 - 74 </t>
  </si>
  <si>
    <t>108,4502</t>
  </si>
  <si>
    <t>107,6048</t>
  </si>
  <si>
    <t>106,9470</t>
  </si>
  <si>
    <t>103,5220</t>
  </si>
  <si>
    <t>100,9605</t>
  </si>
  <si>
    <t xml:space="preserve">Мастера 75 - 79 </t>
  </si>
  <si>
    <t>100,4807</t>
  </si>
  <si>
    <t xml:space="preserve">77(12+12+12+12+5+12+12) </t>
  </si>
  <si>
    <t xml:space="preserve">Иванов Денис, Хамидуллин Роман, Спирянин Александр, Фактулин Андрей, Цыгуров Дмитрий, Писаченко Олег, Бисеров Александр </t>
  </si>
  <si>
    <t xml:space="preserve">53(5+12+12+12+12) </t>
  </si>
  <si>
    <t xml:space="preserve">Саидов Талех, Поповских Максим, Прозоров Александр, Прозоров Александр, Хыдывов Уллубий </t>
  </si>
  <si>
    <t xml:space="preserve">27(12+3+12) </t>
  </si>
  <si>
    <t xml:space="preserve">Ещенко Игорь, Берло Александр, Берло Александр </t>
  </si>
  <si>
    <t xml:space="preserve">27(3+12+12) </t>
  </si>
  <si>
    <t xml:space="preserve">Сероваев Константин, Никифоров Александр, Никифоров Александр </t>
  </si>
  <si>
    <t xml:space="preserve">Бязров Гамлет </t>
  </si>
  <si>
    <t xml:space="preserve">Чесноков Фёдор </t>
  </si>
  <si>
    <t xml:space="preserve">Коровин Евгений </t>
  </si>
  <si>
    <t xml:space="preserve">Мотрич Мария </t>
  </si>
  <si>
    <t xml:space="preserve">Переладов Геннадий </t>
  </si>
  <si>
    <t xml:space="preserve">10(5+5) </t>
  </si>
  <si>
    <t xml:space="preserve">Попов Артём, Чернышев Алексей </t>
  </si>
  <si>
    <t xml:space="preserve">Стрижов Михаил </t>
  </si>
  <si>
    <t xml:space="preserve">Клевакин Арсений </t>
  </si>
  <si>
    <t xml:space="preserve">Арбузов Станислав </t>
  </si>
  <si>
    <t>Открытый Чемпионат Европы 2016 ПРО жим лежа в экипировке
16 - 17.Апрель.2016</t>
  </si>
  <si>
    <t>Красножон Андрей</t>
  </si>
  <si>
    <t>Open (25.02.1982)/34</t>
  </si>
  <si>
    <t>Морозов Константин</t>
  </si>
  <si>
    <t>Open (04.08.1991)/24</t>
  </si>
  <si>
    <t>Сорокин Дмитрий</t>
  </si>
  <si>
    <t>Open (22.03.1971)/45</t>
  </si>
  <si>
    <t>109,40</t>
  </si>
  <si>
    <t>109,00</t>
  </si>
  <si>
    <t>Masters 45-49 (22.03.1971)/45</t>
  </si>
  <si>
    <t>136,9860</t>
  </si>
  <si>
    <t>104,7550</t>
  </si>
  <si>
    <t>100,1340</t>
  </si>
  <si>
    <t>143,5613</t>
  </si>
  <si>
    <t xml:space="preserve">Сорокин Дмитрий, Сорокин Дмитрий </t>
  </si>
  <si>
    <t xml:space="preserve">Морозов Константин </t>
  </si>
  <si>
    <t xml:space="preserve">Красножон Андрей </t>
  </si>
  <si>
    <t>Открытый Чемпионат Европы 2016 ПРО становая тяга без экипировки
16 - 17.Апрель.2016</t>
  </si>
  <si>
    <t>Ишмухаметова Зухра</t>
  </si>
  <si>
    <t>Masters 45-49 (22.03.1967)/49</t>
  </si>
  <si>
    <t>64,80</t>
  </si>
  <si>
    <t>Бажин Константин</t>
  </si>
  <si>
    <t>Masters 45-49 (26.07.1967)/48</t>
  </si>
  <si>
    <t>Захаров Александр</t>
  </si>
  <si>
    <t>Open (01.11.1991)/24</t>
  </si>
  <si>
    <t>78,65</t>
  </si>
  <si>
    <t xml:space="preserve">Петропавловск/Северо-Казахстанская область </t>
  </si>
  <si>
    <t>252,5</t>
  </si>
  <si>
    <t>232,5</t>
  </si>
  <si>
    <t>Open (10.07.1960)/55</t>
  </si>
  <si>
    <t xml:space="preserve">Владимир Курган </t>
  </si>
  <si>
    <t>Мальцев Константин</t>
  </si>
  <si>
    <t>Open (13.10.1974)/41</t>
  </si>
  <si>
    <t>117,30</t>
  </si>
  <si>
    <t>Masters 40-44 (13.10.1974)/41</t>
  </si>
  <si>
    <t>78,4532</t>
  </si>
  <si>
    <t>161,8146</t>
  </si>
  <si>
    <t>155,7405</t>
  </si>
  <si>
    <t>153,5260</t>
  </si>
  <si>
    <t>140,9750</t>
  </si>
  <si>
    <t>112,4028</t>
  </si>
  <si>
    <t>188,1552</t>
  </si>
  <si>
    <t>153,9866</t>
  </si>
  <si>
    <t>141,9182</t>
  </si>
  <si>
    <t xml:space="preserve">Богатырев Андрей, Богатырев Андрей </t>
  </si>
  <si>
    <t xml:space="preserve">Мальцев Константин, Мальцев Константин </t>
  </si>
  <si>
    <t xml:space="preserve">Захаров Александр </t>
  </si>
  <si>
    <t xml:space="preserve">Бажин Константин </t>
  </si>
  <si>
    <t xml:space="preserve">Ишмухаметова Зухра </t>
  </si>
  <si>
    <t xml:space="preserve">Козлов Алексей </t>
  </si>
  <si>
    <t>Открытый Чемпионат Европы 2016 ПРО становая тяга в экипировке
16 - 17.Апрель.2016</t>
  </si>
  <si>
    <t>177,3840</t>
  </si>
  <si>
    <t>Открытый Чемпионат Европы 2016 ПРО присед в экипировке
16 - 17.Апрель.2016</t>
  </si>
  <si>
    <t>202,2800</t>
  </si>
  <si>
    <t>Открытый Чемпионат Европы 2016 ПРО присед без экипировки
16 - 17.Апрель.2016</t>
  </si>
  <si>
    <t xml:space="preserve">Курганская область </t>
  </si>
  <si>
    <t>176,1210</t>
  </si>
  <si>
    <t>Открытый Чемпионат Европы 2016 Любители пауэрлифтинг без экипировки
16 - 17.Апрель.2016</t>
  </si>
  <si>
    <t>Мысловская Владислава</t>
  </si>
  <si>
    <t>Teen 13-15 (07.01.2001)/15</t>
  </si>
  <si>
    <t>51,65</t>
  </si>
  <si>
    <t xml:space="preserve">Озёрск </t>
  </si>
  <si>
    <t xml:space="preserve">Озёрск/Челябинская область </t>
  </si>
  <si>
    <t xml:space="preserve">Куимов И. </t>
  </si>
  <si>
    <t>Журавлёва Анна</t>
  </si>
  <si>
    <t>Open (04.09.1998)/17</t>
  </si>
  <si>
    <t>48,90</t>
  </si>
  <si>
    <t>Котова Наталья</t>
  </si>
  <si>
    <t>Open (12.04.1983)/33</t>
  </si>
  <si>
    <t>51,45</t>
  </si>
  <si>
    <t xml:space="preserve">Попандопуло П. </t>
  </si>
  <si>
    <t>Доровикова Ксения</t>
  </si>
  <si>
    <t>Open (06.08.1989)/26</t>
  </si>
  <si>
    <t>60,00</t>
  </si>
  <si>
    <t xml:space="preserve">Гневышев С. </t>
  </si>
  <si>
    <t>Каминская Наталья</t>
  </si>
  <si>
    <t>Open (25.09.1991)/24</t>
  </si>
  <si>
    <t>59,70</t>
  </si>
  <si>
    <t>Киприянова Ольга</t>
  </si>
  <si>
    <t>Teen 13-15 (28.07.2000)/15</t>
  </si>
  <si>
    <t>67,25</t>
  </si>
  <si>
    <t xml:space="preserve">Чернушка </t>
  </si>
  <si>
    <t xml:space="preserve">Чернушка/Пермский край </t>
  </si>
  <si>
    <t xml:space="preserve">Гагарин Д. </t>
  </si>
  <si>
    <t>Читанова Мария</t>
  </si>
  <si>
    <t>Teen 13-15 (04.11.2002)/13</t>
  </si>
  <si>
    <t>65,20</t>
  </si>
  <si>
    <t>Турова Мария</t>
  </si>
  <si>
    <t>Juniors 20-23 (20.08.1993)/22</t>
  </si>
  <si>
    <t>63,95</t>
  </si>
  <si>
    <t>Open (20.08.1993)/22</t>
  </si>
  <si>
    <t>Кузнецова Кристина</t>
  </si>
  <si>
    <t>Teen 16-17 (19.01.2000)/16</t>
  </si>
  <si>
    <t xml:space="preserve">Артамонов А. </t>
  </si>
  <si>
    <t>Хомченко Наталья</t>
  </si>
  <si>
    <t>Open (26.12.1990)/25</t>
  </si>
  <si>
    <t>72,00</t>
  </si>
  <si>
    <t xml:space="preserve">ХМАО </t>
  </si>
  <si>
    <t xml:space="preserve">Нефтеюганск/Ханты-Мансийский авт. окр. </t>
  </si>
  <si>
    <t>Шерстнева Александра</t>
  </si>
  <si>
    <t>Juniors 20-23 (23.05.1993)/22</t>
  </si>
  <si>
    <t>77,00</t>
  </si>
  <si>
    <t xml:space="preserve">Ульдаров Д. </t>
  </si>
  <si>
    <t>Луговской Владимир</t>
  </si>
  <si>
    <t>Teen 13-15 (14.12.2001)/14</t>
  </si>
  <si>
    <t>56,00</t>
  </si>
  <si>
    <t>Королев Антон</t>
  </si>
  <si>
    <t>Teen 13-15 (20.08.2000)/15</t>
  </si>
  <si>
    <t>65,05</t>
  </si>
  <si>
    <t>Липевич Игорь</t>
  </si>
  <si>
    <t>Teen 16-17 (24.12.1999)/16</t>
  </si>
  <si>
    <t>64,90</t>
  </si>
  <si>
    <t>Томилин Александр</t>
  </si>
  <si>
    <t>Teen 16-17 (12.09.1998)/17</t>
  </si>
  <si>
    <t>65,30</t>
  </si>
  <si>
    <t>Сердюков Антон</t>
  </si>
  <si>
    <t>Teen 18-19 (13.08.1997)/18</t>
  </si>
  <si>
    <t>63,20</t>
  </si>
  <si>
    <t>Шарапов Андрей</t>
  </si>
  <si>
    <t>Teen 16-17 (29.07.1998)/17</t>
  </si>
  <si>
    <t>Шагин Александр</t>
  </si>
  <si>
    <t>Juniors 20-23 (11.02.1995)/21</t>
  </si>
  <si>
    <t>73,00</t>
  </si>
  <si>
    <t xml:space="preserve">Драйв Фитнес </t>
  </si>
  <si>
    <t xml:space="preserve">Савин К. </t>
  </si>
  <si>
    <t>Ляшенко Владислав</t>
  </si>
  <si>
    <t>Juniors 20-23 (13.06.1993)/22</t>
  </si>
  <si>
    <t>72,90</t>
  </si>
  <si>
    <t>Давыдов Дмитрий</t>
  </si>
  <si>
    <t>Open (20.08.1990)/25</t>
  </si>
  <si>
    <t>71,30</t>
  </si>
  <si>
    <t xml:space="preserve">Фитнес 24 </t>
  </si>
  <si>
    <t>212,0</t>
  </si>
  <si>
    <t xml:space="preserve">Паршиков Р., Швецов П. </t>
  </si>
  <si>
    <t>Коршунов Дмитрий</t>
  </si>
  <si>
    <t>Open (27.09.1986)/29</t>
  </si>
  <si>
    <t>73,75</t>
  </si>
  <si>
    <t>Хозов Андрей</t>
  </si>
  <si>
    <t>Open (23.07.1988)/27</t>
  </si>
  <si>
    <t>70,70</t>
  </si>
  <si>
    <t xml:space="preserve">Золотарев С. </t>
  </si>
  <si>
    <t>Прохоров Денис</t>
  </si>
  <si>
    <t>Teen 18-19 (17.06.1997)/18</t>
  </si>
  <si>
    <t>81,80</t>
  </si>
  <si>
    <t xml:space="preserve">Рефтинский </t>
  </si>
  <si>
    <t xml:space="preserve">пос. Рефтинский/Свердловская </t>
  </si>
  <si>
    <t xml:space="preserve">Сиренко А. </t>
  </si>
  <si>
    <t>Ахтариев Денис</t>
  </si>
  <si>
    <t>Juniors 20-23 (24.06.1994)/21</t>
  </si>
  <si>
    <t>79,60</t>
  </si>
  <si>
    <t xml:space="preserve">Васюченко О. </t>
  </si>
  <si>
    <t>Карцев Ярослав</t>
  </si>
  <si>
    <t>Open (02.10.1989)/26</t>
  </si>
  <si>
    <t>82,10</t>
  </si>
  <si>
    <t>Open (28.06.1989)/26</t>
  </si>
  <si>
    <t>81,10</t>
  </si>
  <si>
    <t>Кирьянов Александр</t>
  </si>
  <si>
    <t>Open (11.08.1988)/27</t>
  </si>
  <si>
    <t>81,65</t>
  </si>
  <si>
    <t xml:space="preserve">Чеурин Р. </t>
  </si>
  <si>
    <t>Мельников Станислав</t>
  </si>
  <si>
    <t>Teen 16-17 (02.07.1998)/17</t>
  </si>
  <si>
    <t>89,75</t>
  </si>
  <si>
    <t>Абрамян Давид</t>
  </si>
  <si>
    <t>Open (14.02.1991)/25</t>
  </si>
  <si>
    <t>87,90</t>
  </si>
  <si>
    <t>Гагарин Дмитрий</t>
  </si>
  <si>
    <t>Open (26.03.1989)/27</t>
  </si>
  <si>
    <t>89,50</t>
  </si>
  <si>
    <t xml:space="preserve">Васев А. </t>
  </si>
  <si>
    <t>Еньшин Сергей</t>
  </si>
  <si>
    <t>Open (11.03.1986)/30</t>
  </si>
  <si>
    <t xml:space="preserve">Весноватый И., Черныш В. </t>
  </si>
  <si>
    <t>Дмитриев Константин</t>
  </si>
  <si>
    <t>Open (24.01.1990)/26</t>
  </si>
  <si>
    <t>88,05</t>
  </si>
  <si>
    <t>Стариков Сергей</t>
  </si>
  <si>
    <t>Open (26.07.1987)/28</t>
  </si>
  <si>
    <t>Дюкин Руслан</t>
  </si>
  <si>
    <t>Juniors 20-23 (16.03.1993)/23</t>
  </si>
  <si>
    <t xml:space="preserve">Шатный К. </t>
  </si>
  <si>
    <t>Миков Алексей</t>
  </si>
  <si>
    <t>Open (26.04.1978)/37</t>
  </si>
  <si>
    <t>92,15</t>
  </si>
  <si>
    <t xml:space="preserve">Ивдель </t>
  </si>
  <si>
    <t xml:space="preserve">Ивдель/Свердловская область </t>
  </si>
  <si>
    <t xml:space="preserve">Шабалов И. </t>
  </si>
  <si>
    <t>Аллабергенов Ренат</t>
  </si>
  <si>
    <t>Open (16.06.1988)/27</t>
  </si>
  <si>
    <t xml:space="preserve">Елфимов С. </t>
  </si>
  <si>
    <t>Терентьев Александр</t>
  </si>
  <si>
    <t>Open (15.02.1969)/47</t>
  </si>
  <si>
    <t>94,35</t>
  </si>
  <si>
    <t xml:space="preserve">Уральский Атлет </t>
  </si>
  <si>
    <t xml:space="preserve">Берёзовский/Свердловская область </t>
  </si>
  <si>
    <t xml:space="preserve">Козлов А. </t>
  </si>
  <si>
    <t>Рахимов Ильдар</t>
  </si>
  <si>
    <t>Masters 40-44 (21.04.1973)/42</t>
  </si>
  <si>
    <t>Калугин Данил</t>
  </si>
  <si>
    <t>Juniors 20-23 (16.06.1992)/23</t>
  </si>
  <si>
    <t>105,00</t>
  </si>
  <si>
    <t xml:space="preserve">Корякин А. </t>
  </si>
  <si>
    <t>Лавров Артём</t>
  </si>
  <si>
    <t>Open (08.09.1979)/36</t>
  </si>
  <si>
    <t>104,70</t>
  </si>
  <si>
    <t>Черников Игорь</t>
  </si>
  <si>
    <t>Open (27.02.1982)/34</t>
  </si>
  <si>
    <t>107,20</t>
  </si>
  <si>
    <t>Кудрявцев Сергей</t>
  </si>
  <si>
    <t>Open (25.09.1974)/41</t>
  </si>
  <si>
    <t>116,20</t>
  </si>
  <si>
    <t>Коковин Константин</t>
  </si>
  <si>
    <t>Teen 18-19 (22.02.1997)/19</t>
  </si>
  <si>
    <t>127,80</t>
  </si>
  <si>
    <t>Петров Василий</t>
  </si>
  <si>
    <t>Open (14.11.1975)/40</t>
  </si>
  <si>
    <t>134,00</t>
  </si>
  <si>
    <t xml:space="preserve">Берёзовский </t>
  </si>
  <si>
    <t>242,5</t>
  </si>
  <si>
    <t>310,5394</t>
  </si>
  <si>
    <t>305,4492</t>
  </si>
  <si>
    <t>216,7654</t>
  </si>
  <si>
    <t>152,3870</t>
  </si>
  <si>
    <t>191,5937</t>
  </si>
  <si>
    <t>300,7310</t>
  </si>
  <si>
    <t>267,4680</t>
  </si>
  <si>
    <t>244,5720</t>
  </si>
  <si>
    <t>277,5</t>
  </si>
  <si>
    <t>238,8997</t>
  </si>
  <si>
    <t>287,5</t>
  </si>
  <si>
    <t>213,7419</t>
  </si>
  <si>
    <t>203,1928</t>
  </si>
  <si>
    <t>202,8935</t>
  </si>
  <si>
    <t>201,2588</t>
  </si>
  <si>
    <t>189,6968</t>
  </si>
  <si>
    <t>525,0</t>
  </si>
  <si>
    <t>376,7715</t>
  </si>
  <si>
    <t>518,5</t>
  </si>
  <si>
    <t>372,1067</t>
  </si>
  <si>
    <t>417,5</t>
  </si>
  <si>
    <t>354,9635</t>
  </si>
  <si>
    <t>500,0</t>
  </si>
  <si>
    <t>330,1900</t>
  </si>
  <si>
    <t>390,0</t>
  </si>
  <si>
    <t>319,0208</t>
  </si>
  <si>
    <t>347,5</t>
  </si>
  <si>
    <t>307,8861</t>
  </si>
  <si>
    <t>306,6611</t>
  </si>
  <si>
    <t>472,5</t>
  </si>
  <si>
    <t>299,1889</t>
  </si>
  <si>
    <t>480,0</t>
  </si>
  <si>
    <t>258,4059</t>
  </si>
  <si>
    <t>336,9850</t>
  </si>
  <si>
    <t>335,8518</t>
  </si>
  <si>
    <t>515,0</t>
  </si>
  <si>
    <t>333,6706</t>
  </si>
  <si>
    <t>271,8500</t>
  </si>
  <si>
    <t>267,7338</t>
  </si>
  <si>
    <t>860,0</t>
  </si>
  <si>
    <t>438,7720</t>
  </si>
  <si>
    <t>695,0</t>
  </si>
  <si>
    <t>387,1150</t>
  </si>
  <si>
    <t>642,5</t>
  </si>
  <si>
    <t>381,5808</t>
  </si>
  <si>
    <t>635,0</t>
  </si>
  <si>
    <t>366,6173</t>
  </si>
  <si>
    <t>630,0</t>
  </si>
  <si>
    <t>354,8790</t>
  </si>
  <si>
    <t>349,4435</t>
  </si>
  <si>
    <t>572,5</t>
  </si>
  <si>
    <t>336,8017</t>
  </si>
  <si>
    <t>335,7655</t>
  </si>
  <si>
    <t>610,0</t>
  </si>
  <si>
    <t>332,0230</t>
  </si>
  <si>
    <t>322,2355</t>
  </si>
  <si>
    <t>540,0</t>
  </si>
  <si>
    <t>320,3550</t>
  </si>
  <si>
    <t>310,7000</t>
  </si>
  <si>
    <t>455,0</t>
  </si>
  <si>
    <t>306,3742</t>
  </si>
  <si>
    <t>300,8640</t>
  </si>
  <si>
    <t>297,6205</t>
  </si>
  <si>
    <t>502,5</t>
  </si>
  <si>
    <t>294,1133</t>
  </si>
  <si>
    <t>437,5</t>
  </si>
  <si>
    <t>273,3719</t>
  </si>
  <si>
    <t>475,0</t>
  </si>
  <si>
    <t>270,7025</t>
  </si>
  <si>
    <t>495,0</t>
  </si>
  <si>
    <t>267,3990</t>
  </si>
  <si>
    <t>247,5060</t>
  </si>
  <si>
    <t>225,6729</t>
  </si>
  <si>
    <t>433,2919</t>
  </si>
  <si>
    <t>310,4052</t>
  </si>
  <si>
    <t xml:space="preserve">88(12+3+3+12+12+5+5+12+5+12+5+2) </t>
  </si>
  <si>
    <t xml:space="preserve">Дюкин Руслан, Хозов Андрей, Котова Наталья, Абрамян Давид, Рябикова Алёна, Журавлёва Анна, Черников Игорь, Лавров Артём, Карцев Ярослав, Бессонова Ольга, Ляшенко Владислав, Трофимов Александр </t>
  </si>
  <si>
    <t xml:space="preserve">72(12+12+12+12+12+12) </t>
  </si>
  <si>
    <t xml:space="preserve">Мельников Станислав, Липевич Игорь, Шарапов Андрей, Главатских Полина, Луговской Владимир, Коковин Константин </t>
  </si>
  <si>
    <t xml:space="preserve">Королев Антон, Сердюков Антон, Кузнецова Кристина </t>
  </si>
  <si>
    <t xml:space="preserve">34(5+12+12+5) </t>
  </si>
  <si>
    <t xml:space="preserve">Турова Мария, Турова Мария, Киприянова Ольга, Гагарин Дмитрий </t>
  </si>
  <si>
    <t xml:space="preserve">25(12+12+1) </t>
  </si>
  <si>
    <t xml:space="preserve">Ахтариев Денис, Пеяс Станислав, Стариков Сергей </t>
  </si>
  <si>
    <t xml:space="preserve">19(5+2+12) </t>
  </si>
  <si>
    <t xml:space="preserve">Миков Алексей, Аллабергенов Ренат, Рахимов Ильдар </t>
  </si>
  <si>
    <t xml:space="preserve">18(3+3+12) </t>
  </si>
  <si>
    <t xml:space="preserve">Иванов Дмитрий, Каминская Наталья, Козиков Матвей </t>
  </si>
  <si>
    <t xml:space="preserve">17(5+12) </t>
  </si>
  <si>
    <t xml:space="preserve">Тяжельников Вячеслав, Тяжельников Вячеслав </t>
  </si>
  <si>
    <t xml:space="preserve">Хомченко Наталья </t>
  </si>
  <si>
    <t xml:space="preserve">Петров Василий </t>
  </si>
  <si>
    <t xml:space="preserve">Прохоров Денис </t>
  </si>
  <si>
    <t xml:space="preserve">Мысловская Владислава </t>
  </si>
  <si>
    <t xml:space="preserve">Давыдов Дмитрий </t>
  </si>
  <si>
    <t xml:space="preserve">Шагин Александр </t>
  </si>
  <si>
    <t xml:space="preserve">Калугин Данил </t>
  </si>
  <si>
    <t xml:space="preserve">Коршунов Дмитрий </t>
  </si>
  <si>
    <t xml:space="preserve">Доровикова Ксения </t>
  </si>
  <si>
    <t xml:space="preserve">Романов Пётр </t>
  </si>
  <si>
    <t xml:space="preserve">Еньшин Сергей </t>
  </si>
  <si>
    <t xml:space="preserve">2(2) </t>
  </si>
  <si>
    <t xml:space="preserve">Дмитриев Константин </t>
  </si>
  <si>
    <t xml:space="preserve">1(1) </t>
  </si>
  <si>
    <t xml:space="preserve">Терентьев Александр </t>
  </si>
  <si>
    <t>Открытый Чемпионат Европы 2016 Любители пауэрлифтинг в экипировке
16 - 17.Апрель.2016</t>
  </si>
  <si>
    <t>Батурина Алёна</t>
  </si>
  <si>
    <t>Juniors 20-23 (03.10.1994)/21</t>
  </si>
  <si>
    <t xml:space="preserve">Блинков В. </t>
  </si>
  <si>
    <t>Емельянова Юлия</t>
  </si>
  <si>
    <t>Teen 16-17 (31.07.1998)/17</t>
  </si>
  <si>
    <t>81,50</t>
  </si>
  <si>
    <t>Измодёнов Павел</t>
  </si>
  <si>
    <t>Juniors 20-23 (07.09.1994)/21</t>
  </si>
  <si>
    <t xml:space="preserve">Блинков В.В. </t>
  </si>
  <si>
    <t>Рахманкулов Азат</t>
  </si>
  <si>
    <t>Open (09.05.1976)/39</t>
  </si>
  <si>
    <t>59,25</t>
  </si>
  <si>
    <t xml:space="preserve">Карпинск </t>
  </si>
  <si>
    <t>Ветров Кирилл</t>
  </si>
  <si>
    <t>Juniors 20-23 (14.02.1993)/23</t>
  </si>
  <si>
    <t>81,00</t>
  </si>
  <si>
    <t>237,5</t>
  </si>
  <si>
    <t>Матвеев Павел</t>
  </si>
  <si>
    <t>Open (08.07.1990)/25</t>
  </si>
  <si>
    <t xml:space="preserve">Глазунов М. </t>
  </si>
  <si>
    <t>600,0</t>
  </si>
  <si>
    <t>440,3160</t>
  </si>
  <si>
    <t>397,1625</t>
  </si>
  <si>
    <t>379,5165</t>
  </si>
  <si>
    <t>323,3318</t>
  </si>
  <si>
    <t>537,5</t>
  </si>
  <si>
    <t>442,6312</t>
  </si>
  <si>
    <t>357,7266</t>
  </si>
  <si>
    <t xml:space="preserve">48(12+12+12+12) </t>
  </si>
  <si>
    <t xml:space="preserve">Ветров Кирилл, Емельянова Юлия, Измодёнов Павел, Батурина Алёна </t>
  </si>
  <si>
    <t xml:space="preserve">Рахманкулов Азат </t>
  </si>
  <si>
    <t xml:space="preserve">Матвеев Павел </t>
  </si>
  <si>
    <t>Открытый Чемпионат Европы 2016 Любители жим лежа без экипировки
16 - 17.Апрель.2016</t>
  </si>
  <si>
    <t>Перепёлкина Алёна</t>
  </si>
  <si>
    <t>Teen 16-17 (27.09.1998)/17</t>
  </si>
  <si>
    <t>45,25</t>
  </si>
  <si>
    <t xml:space="preserve">Профи Джим </t>
  </si>
  <si>
    <t>32,5</t>
  </si>
  <si>
    <t xml:space="preserve">Перепёлкин В. </t>
  </si>
  <si>
    <t>Панова Светлана</t>
  </si>
  <si>
    <t>Masters 40-44 (05.06.1972)/43</t>
  </si>
  <si>
    <t>47,75</t>
  </si>
  <si>
    <t>Чебыкина Евгения</t>
  </si>
  <si>
    <t>Open (18.09.1990)/25</t>
  </si>
  <si>
    <t>51,50</t>
  </si>
  <si>
    <t xml:space="preserve">Кадочников А. </t>
  </si>
  <si>
    <t>Шнайдер Алиса</t>
  </si>
  <si>
    <t>Open (01.01.1986)/30</t>
  </si>
  <si>
    <t>Гомалеева Наталья</t>
  </si>
  <si>
    <t>Open (14.12.1985)/30</t>
  </si>
  <si>
    <t>96,0</t>
  </si>
  <si>
    <t>Геташвили Мария</t>
  </si>
  <si>
    <t>Open (18.06.1980)/35</t>
  </si>
  <si>
    <t xml:space="preserve">Баландин С. </t>
  </si>
  <si>
    <t>Бартош Анжелика</t>
  </si>
  <si>
    <t>Open (03.08.1982)/33</t>
  </si>
  <si>
    <t>61,20</t>
  </si>
  <si>
    <t xml:space="preserve">Сыктывкар </t>
  </si>
  <si>
    <t xml:space="preserve">Александров </t>
  </si>
  <si>
    <t>Имамеева Светлана</t>
  </si>
  <si>
    <t>Open (23.02.1980)/36</t>
  </si>
  <si>
    <t>63,30</t>
  </si>
  <si>
    <t xml:space="preserve">Карамалак Н. </t>
  </si>
  <si>
    <t>Карпинская Ольга</t>
  </si>
  <si>
    <t>Open (26.12.1986)/29</t>
  </si>
  <si>
    <t>64,70</t>
  </si>
  <si>
    <t>Асеева о</t>
  </si>
  <si>
    <t>Open (23.03.1980)/36</t>
  </si>
  <si>
    <t>61,50</t>
  </si>
  <si>
    <t>Емельянова Ирина</t>
  </si>
  <si>
    <t>Masters 40-44 (20.03.1975)/41</t>
  </si>
  <si>
    <t>62,55</t>
  </si>
  <si>
    <t>71,25</t>
  </si>
  <si>
    <t xml:space="preserve">Нефтюганьск </t>
  </si>
  <si>
    <t>Мясникова Ольга</t>
  </si>
  <si>
    <t>Masters 45-49 (20.08.1970)/45</t>
  </si>
  <si>
    <t>74,65</t>
  </si>
  <si>
    <t>63,5</t>
  </si>
  <si>
    <t>Артемчук Валерия</t>
  </si>
  <si>
    <t>Open (06.09.1976)/39</t>
  </si>
  <si>
    <t>77,40</t>
  </si>
  <si>
    <t>Смородских Андрей</t>
  </si>
  <si>
    <t>Teen 16-17 (16.10.1998)/17</t>
  </si>
  <si>
    <t>54,85</t>
  </si>
  <si>
    <t>Михеев Иван</t>
  </si>
  <si>
    <t>Juniors 20-23 (28.07.1994)/21</t>
  </si>
  <si>
    <t>54,65</t>
  </si>
  <si>
    <t>Open (28.07.1994)/21</t>
  </si>
  <si>
    <t>Буланов Даниил</t>
  </si>
  <si>
    <t>Juniors 20-23 (24.03.1993)/23</t>
  </si>
  <si>
    <t>64,15</t>
  </si>
  <si>
    <t>Красовский Иван</t>
  </si>
  <si>
    <t>Juniors 20-23 (12.04.1993)/23</t>
  </si>
  <si>
    <t>66,45</t>
  </si>
  <si>
    <t>Маклаков Алексей</t>
  </si>
  <si>
    <t>Open (12.01.1992)/24</t>
  </si>
  <si>
    <t>66,15</t>
  </si>
  <si>
    <t>173,5</t>
  </si>
  <si>
    <t>Пинаев Александр</t>
  </si>
  <si>
    <t>Open (07.12.1983)/32</t>
  </si>
  <si>
    <t>65,50</t>
  </si>
  <si>
    <t>Шимко Александр</t>
  </si>
  <si>
    <t>Teen 16-17 (29.05.1999)/16</t>
  </si>
  <si>
    <t>73,15</t>
  </si>
  <si>
    <t>Флягин Никита</t>
  </si>
  <si>
    <t>Teen 16-17 (22.06.1999)/16</t>
  </si>
  <si>
    <t>73,80</t>
  </si>
  <si>
    <t xml:space="preserve">Богданович/Свердловская область </t>
  </si>
  <si>
    <t xml:space="preserve">Качусов В. </t>
  </si>
  <si>
    <t>Федяев Илья</t>
  </si>
  <si>
    <t>Teen 16-17 (04.04.1999)/17</t>
  </si>
  <si>
    <t>Усков Роман</t>
  </si>
  <si>
    <t>69,00</t>
  </si>
  <si>
    <t>137,5</t>
  </si>
  <si>
    <t>Дорофеев Антон</t>
  </si>
  <si>
    <t>Juniors 20-23 (30.06.1992)/23</t>
  </si>
  <si>
    <t xml:space="preserve">Баранов А. </t>
  </si>
  <si>
    <t>Чуганаев Радик</t>
  </si>
  <si>
    <t>Open (28.01.1988)/28</t>
  </si>
  <si>
    <t>73,85</t>
  </si>
  <si>
    <t>Антипин Игорь</t>
  </si>
  <si>
    <t>Open (15.08.1986)/29</t>
  </si>
  <si>
    <t>73,60</t>
  </si>
  <si>
    <t>Сафонов Иван</t>
  </si>
  <si>
    <t>Open (29.11.1990)/25</t>
  </si>
  <si>
    <t>74,35</t>
  </si>
  <si>
    <t>Илюшин Сергей</t>
  </si>
  <si>
    <t>Open (23.08.1977)/38</t>
  </si>
  <si>
    <t>72,70</t>
  </si>
  <si>
    <t>Кайгородцев Григорий</t>
  </si>
  <si>
    <t>Open (30.11.1981)/34</t>
  </si>
  <si>
    <t>74,70</t>
  </si>
  <si>
    <t>Некрасов Дмитрий</t>
  </si>
  <si>
    <t>Masters 50-54 (06.06.1963)/52</t>
  </si>
  <si>
    <t>Соколов Алексей</t>
  </si>
  <si>
    <t>Masters 50-54 (30.12.1963)/52</t>
  </si>
  <si>
    <t>72,30</t>
  </si>
  <si>
    <t>Зябликов Иван</t>
  </si>
  <si>
    <t>Masters 65-69 (21.08.1948)/67</t>
  </si>
  <si>
    <t>74,50</t>
  </si>
  <si>
    <t xml:space="preserve">Золотой тигр </t>
  </si>
  <si>
    <t>Ошивалов Анатолий</t>
  </si>
  <si>
    <t>Masters 70-74 (06.11.1944)/71</t>
  </si>
  <si>
    <t>72,55</t>
  </si>
  <si>
    <t>Гаврилов Денис</t>
  </si>
  <si>
    <t>Teen 18-19 (15.09.1996)/19</t>
  </si>
  <si>
    <t>Мешков Никита</t>
  </si>
  <si>
    <t>Teen 18-19 (16.08.1996)/19</t>
  </si>
  <si>
    <t>82,00</t>
  </si>
  <si>
    <t>Сапогов Игорь</t>
  </si>
  <si>
    <t>Teen 18-19 (22.05.1996)/19</t>
  </si>
  <si>
    <t>80,40</t>
  </si>
  <si>
    <t xml:space="preserve">Сатка </t>
  </si>
  <si>
    <t xml:space="preserve">Сатка/Челябинская область </t>
  </si>
  <si>
    <t xml:space="preserve">Тёплых И. </t>
  </si>
  <si>
    <t>Путилов Кирилл</t>
  </si>
  <si>
    <t>Juniors 20-23 (16.09.1995)/20</t>
  </si>
  <si>
    <t>81,70</t>
  </si>
  <si>
    <t>Антонов Эдуард</t>
  </si>
  <si>
    <t>Open (01.01.1974)/42</t>
  </si>
  <si>
    <t>81,75</t>
  </si>
  <si>
    <t>Нечкин Роман</t>
  </si>
  <si>
    <t>Open (18.05.1984)/31</t>
  </si>
  <si>
    <t>81,20</t>
  </si>
  <si>
    <t>Греков Юрий</t>
  </si>
  <si>
    <t>Open (02.04.1984)/32</t>
  </si>
  <si>
    <t>82,40</t>
  </si>
  <si>
    <t xml:space="preserve">Башкортостан </t>
  </si>
  <si>
    <t xml:space="preserve">Бирск/Башкортостан </t>
  </si>
  <si>
    <t>Казаков Роман</t>
  </si>
  <si>
    <t>Open (06.05.1987)/28</t>
  </si>
  <si>
    <t>79,65</t>
  </si>
  <si>
    <t>Соловей Александр</t>
  </si>
  <si>
    <t>Open (03.06.1985)/30</t>
  </si>
  <si>
    <t>80,95</t>
  </si>
  <si>
    <t xml:space="preserve">Брусов А. </t>
  </si>
  <si>
    <t>Акулов Антон</t>
  </si>
  <si>
    <t>82,30</t>
  </si>
  <si>
    <t>Гулиев Эльвин</t>
  </si>
  <si>
    <t>Open (03.12.1988)/27</t>
  </si>
  <si>
    <t>80,20</t>
  </si>
  <si>
    <t>Masters 40-44 (01.01.1974)/42</t>
  </si>
  <si>
    <t>Сетуридзе Давид</t>
  </si>
  <si>
    <t>Masters 40-44 (08.05.1988)/27</t>
  </si>
  <si>
    <t xml:space="preserve">Фитнес колизей </t>
  </si>
  <si>
    <t>Чемерис Александр</t>
  </si>
  <si>
    <t>Masters 40-44 (01.03.1973)/43</t>
  </si>
  <si>
    <t>Абатуров Сергей</t>
  </si>
  <si>
    <t>Masters 45-49 (17.04.1968)/48</t>
  </si>
  <si>
    <t>80,90</t>
  </si>
  <si>
    <t xml:space="preserve">Арамиль </t>
  </si>
  <si>
    <t xml:space="preserve">Арамиль/Свердловская область </t>
  </si>
  <si>
    <t xml:space="preserve">Кобызов К. </t>
  </si>
  <si>
    <t>Тиунов Сергей</t>
  </si>
  <si>
    <t>Masters 45-49 (08.10.1968)/47</t>
  </si>
  <si>
    <t>81,85</t>
  </si>
  <si>
    <t>Березин Михаил</t>
  </si>
  <si>
    <t>Masters 45-49 (13.09.1967)/48</t>
  </si>
  <si>
    <t>79,95</t>
  </si>
  <si>
    <t xml:space="preserve">Бояршинов И. </t>
  </si>
  <si>
    <t>Хусаинов Руслан</t>
  </si>
  <si>
    <t>Masters 50-54 (27.06.1963)/52</t>
  </si>
  <si>
    <t>Золотцев Виталий</t>
  </si>
  <si>
    <t>Masters 55-59 (22.06.1960)/55</t>
  </si>
  <si>
    <t>Тепляшин Александр</t>
  </si>
  <si>
    <t>Masters 55-59 (01.02.1957)/59</t>
  </si>
  <si>
    <t>79,30</t>
  </si>
  <si>
    <t xml:space="preserve">Фитнес-центр Колизей </t>
  </si>
  <si>
    <t>Цориев Эльдар</t>
  </si>
  <si>
    <t>Masters 70-74 (17.02.1946)/70</t>
  </si>
  <si>
    <t>Демин Александр</t>
  </si>
  <si>
    <t>Masters 70-74 (23.07.1941)/74</t>
  </si>
  <si>
    <t>77,30</t>
  </si>
  <si>
    <t>Пужаев Николай</t>
  </si>
  <si>
    <t>Masters 80up (13.08.1935)/80</t>
  </si>
  <si>
    <t>79,80</t>
  </si>
  <si>
    <t>Цивилев Святослав</t>
  </si>
  <si>
    <t>Teen 16-17 (05.03.2000)/16</t>
  </si>
  <si>
    <t>88,60</t>
  </si>
  <si>
    <t xml:space="preserve">Теплых И. </t>
  </si>
  <si>
    <t>Пузыня Кирилл</t>
  </si>
  <si>
    <t>Teen 18-19 (05.04.1997)/19</t>
  </si>
  <si>
    <t>88,00</t>
  </si>
  <si>
    <t>Тулин Владимир</t>
  </si>
  <si>
    <t>Juniors 20-23 (31.01.1996)/20</t>
  </si>
  <si>
    <t>88,30</t>
  </si>
  <si>
    <t>Воробьёв Максим</t>
  </si>
  <si>
    <t>Juniors 20-23 (23.03.1995)/21</t>
  </si>
  <si>
    <t>87,30</t>
  </si>
  <si>
    <t xml:space="preserve">Харламов А. </t>
  </si>
  <si>
    <t>Авдошин Ярослав</t>
  </si>
  <si>
    <t>Juniors 20-23 (23.03.1994)/22</t>
  </si>
  <si>
    <t xml:space="preserve">Расторгуева О. </t>
  </si>
  <si>
    <t>Трофимов Андрей</t>
  </si>
  <si>
    <t>Open (28.07.1983)/32</t>
  </si>
  <si>
    <t>88,90</t>
  </si>
  <si>
    <t>Аньика Роберт</t>
  </si>
  <si>
    <t>Open (19.07.1991)/24</t>
  </si>
  <si>
    <t>88,40</t>
  </si>
  <si>
    <t>Пономарёв Антон</t>
  </si>
  <si>
    <t>Open (24.07.1989)/26</t>
  </si>
  <si>
    <t>85,65</t>
  </si>
  <si>
    <t>Козлихин Владимир</t>
  </si>
  <si>
    <t>Open (28.07.1981)/34</t>
  </si>
  <si>
    <t xml:space="preserve">Тихонов В. </t>
  </si>
  <si>
    <t>Журавлев Роман</t>
  </si>
  <si>
    <t>Open (07.03.1982)/34</t>
  </si>
  <si>
    <t>Еськин Виктор</t>
  </si>
  <si>
    <t>Open (15.04.1989)/27</t>
  </si>
  <si>
    <t>88,75</t>
  </si>
  <si>
    <t>Попов Андрей</t>
  </si>
  <si>
    <t>Open (30.05.1980)/35</t>
  </si>
  <si>
    <t>Селезеньков Владислав</t>
  </si>
  <si>
    <t>Open (07.10.1986)/29</t>
  </si>
  <si>
    <t>86,40</t>
  </si>
  <si>
    <t>Аньика Альберт</t>
  </si>
  <si>
    <t>Open (09.12.1989)/26</t>
  </si>
  <si>
    <t>88,65</t>
  </si>
  <si>
    <t>Печеркин Илья</t>
  </si>
  <si>
    <t>Masters 40-44 (25.05.1975)/40</t>
  </si>
  <si>
    <t>87,80</t>
  </si>
  <si>
    <t xml:space="preserve">Мезенцев П. </t>
  </si>
  <si>
    <t>Редикульцев Александр</t>
  </si>
  <si>
    <t>Masters 40-44 (03.11.1973)/42</t>
  </si>
  <si>
    <t>Кузнецов Андрей</t>
  </si>
  <si>
    <t>Masters 40-44 (15.02.1976)/40</t>
  </si>
  <si>
    <t>85,20</t>
  </si>
  <si>
    <t>Норицын Андрей</t>
  </si>
  <si>
    <t>Masters 50-54 (30.07.1963)/52</t>
  </si>
  <si>
    <t>89,70</t>
  </si>
  <si>
    <t>Шишканов Александр</t>
  </si>
  <si>
    <t>Teen 16-17 (20.10.1999)/16</t>
  </si>
  <si>
    <t>90,45</t>
  </si>
  <si>
    <t>Курок Дмитрий</t>
  </si>
  <si>
    <t>Juniors 20-23 (06.10.1993)/22</t>
  </si>
  <si>
    <t>93,05</t>
  </si>
  <si>
    <t>Лагвилава Темур</t>
  </si>
  <si>
    <t>Juniors 20-23 (13.08.1994)/21</t>
  </si>
  <si>
    <t>95,35</t>
  </si>
  <si>
    <t>Горбунов Юрий</t>
  </si>
  <si>
    <t>Open (16.08.1986)/29</t>
  </si>
  <si>
    <t>Кузеев Дмитрий</t>
  </si>
  <si>
    <t>Open (26.12.1975)/40</t>
  </si>
  <si>
    <t>Жерновой Сергей</t>
  </si>
  <si>
    <t>Open (22.09.1983)/32</t>
  </si>
  <si>
    <t>98,70</t>
  </si>
  <si>
    <t>Куклин Дмитрий</t>
  </si>
  <si>
    <t>Open (08.11.1990)/25</t>
  </si>
  <si>
    <t>99,35</t>
  </si>
  <si>
    <t>Исаев Беслан</t>
  </si>
  <si>
    <t>Open (01.06.1988)/27</t>
  </si>
  <si>
    <t>95,60</t>
  </si>
  <si>
    <t>Носов Евгений</t>
  </si>
  <si>
    <t>Open (05.05.1982)/33</t>
  </si>
  <si>
    <t>96,85</t>
  </si>
  <si>
    <t xml:space="preserve">Толкачёв К. </t>
  </si>
  <si>
    <t>Табунков Дмитрий</t>
  </si>
  <si>
    <t>Masters 40-44 (20.04.1972)/43</t>
  </si>
  <si>
    <t>99,20</t>
  </si>
  <si>
    <t>Masters 40-44 (26.12.1975)/40</t>
  </si>
  <si>
    <t>Казанцев Иван</t>
  </si>
  <si>
    <t>Masters 45-49 (29.09.1967)/48</t>
  </si>
  <si>
    <t xml:space="preserve">Пастухова Л. </t>
  </si>
  <si>
    <t>Лоскутников Александр</t>
  </si>
  <si>
    <t>Masters 50-54 (27.03.1964)/52</t>
  </si>
  <si>
    <t>91,55</t>
  </si>
  <si>
    <t>Комаров Пётр</t>
  </si>
  <si>
    <t>Masters 55-59 (06.10.1958)/57</t>
  </si>
  <si>
    <t xml:space="preserve">Каменск-Уральский </t>
  </si>
  <si>
    <t xml:space="preserve">Каменск-Уральский/Свердловская область </t>
  </si>
  <si>
    <t xml:space="preserve">Игнатьев А. </t>
  </si>
  <si>
    <t>Чевардин Иван</t>
  </si>
  <si>
    <t>Masters 55-59 (03.05.1958)/57</t>
  </si>
  <si>
    <t>Добрин Борис</t>
  </si>
  <si>
    <t>Masters 55-59 (28.07.1959)/56</t>
  </si>
  <si>
    <t>99,50</t>
  </si>
  <si>
    <t xml:space="preserve">Медведев А. </t>
  </si>
  <si>
    <t>Котов Сергей</t>
  </si>
  <si>
    <t>Masters 55-59 (15.03.1960)/56</t>
  </si>
  <si>
    <t>Пиняжин Андрей</t>
  </si>
  <si>
    <t>Open (08.08.1974)/41</t>
  </si>
  <si>
    <t>108,90</t>
  </si>
  <si>
    <t>Щукин Владимир</t>
  </si>
  <si>
    <t>Open (15.03.1980)/36</t>
  </si>
  <si>
    <t>109,10</t>
  </si>
  <si>
    <t>Баранов Александр</t>
  </si>
  <si>
    <t>Open (19.11.1985)/30</t>
  </si>
  <si>
    <t xml:space="preserve">Козлов А., Блинков В. </t>
  </si>
  <si>
    <t>Гаврилин Дмитрий</t>
  </si>
  <si>
    <t>Open (16.02.1991)/25</t>
  </si>
  <si>
    <t>102,10</t>
  </si>
  <si>
    <t>Masters 40-44 (08.08.1974)/41</t>
  </si>
  <si>
    <t>Черников Вячеслав</t>
  </si>
  <si>
    <t>Masters 40-44 (07.12.1974)/41</t>
  </si>
  <si>
    <t>101,90</t>
  </si>
  <si>
    <t xml:space="preserve">Нужин К. </t>
  </si>
  <si>
    <t>Чернов Вячеслав</t>
  </si>
  <si>
    <t>Тычинкин Сергей</t>
  </si>
  <si>
    <t>Masters 45-49 (07.08.1966)/49</t>
  </si>
  <si>
    <t>106,30</t>
  </si>
  <si>
    <t xml:space="preserve">Тычинкин А. </t>
  </si>
  <si>
    <t>Иванченков Андрей</t>
  </si>
  <si>
    <t>Masters 45-49 (10.03.1971)/45</t>
  </si>
  <si>
    <t>108,00</t>
  </si>
  <si>
    <t xml:space="preserve">Тугулыч </t>
  </si>
  <si>
    <t xml:space="preserve">Дюпин Е. </t>
  </si>
  <si>
    <t>Жебелев Андрей</t>
  </si>
  <si>
    <t>Masters 50-54 (18.03.1962)/54</t>
  </si>
  <si>
    <t>100,80</t>
  </si>
  <si>
    <t>Бытов Юрий</t>
  </si>
  <si>
    <t>Masters 65-69 (18.02.1949)/67</t>
  </si>
  <si>
    <t>Плоских Олег</t>
  </si>
  <si>
    <t>Juniors 20-23 (26.04.1992)/23</t>
  </si>
  <si>
    <t>111,00</t>
  </si>
  <si>
    <t xml:space="preserve">Ишим/Тюменская область </t>
  </si>
  <si>
    <t>Карамалак Никита</t>
  </si>
  <si>
    <t>Juniors 20-23 (10.03.1994)/22</t>
  </si>
  <si>
    <t>117,80</t>
  </si>
  <si>
    <t xml:space="preserve">Карамалак П. </t>
  </si>
  <si>
    <t>Шаров Андрей</t>
  </si>
  <si>
    <t>Open (07.02.1974)/42</t>
  </si>
  <si>
    <t>122,70</t>
  </si>
  <si>
    <t xml:space="preserve">Шаров А. </t>
  </si>
  <si>
    <t>Маркин Павел</t>
  </si>
  <si>
    <t>Open (24.07.1982)/33</t>
  </si>
  <si>
    <t>115,80</t>
  </si>
  <si>
    <t xml:space="preserve">Пахотин А. </t>
  </si>
  <si>
    <t>Апухтин Антон</t>
  </si>
  <si>
    <t>Open (03.08.1987)/28</t>
  </si>
  <si>
    <t>124,60</t>
  </si>
  <si>
    <t xml:space="preserve">Мозгунов А. </t>
  </si>
  <si>
    <t>Иглин Антон</t>
  </si>
  <si>
    <t>Open (20.01.1980)/36</t>
  </si>
  <si>
    <t>114,00</t>
  </si>
  <si>
    <t>Зыков Вадим</t>
  </si>
  <si>
    <t>Open (01.09.1977)/38</t>
  </si>
  <si>
    <t>121,20</t>
  </si>
  <si>
    <t>Masters 40-44 (07.02.1974)/42</t>
  </si>
  <si>
    <t>Мозырев Константин</t>
  </si>
  <si>
    <t>Masters 45-49 (21.03.1968)/48</t>
  </si>
  <si>
    <t>123,90</t>
  </si>
  <si>
    <t>Бреднев Алексей</t>
  </si>
  <si>
    <t>Masters 45-49 (01.05.1969)/46</t>
  </si>
  <si>
    <t>121,40</t>
  </si>
  <si>
    <t>Карамалак Павел</t>
  </si>
  <si>
    <t>Open (30.06.1973)/42</t>
  </si>
  <si>
    <t>129,80</t>
  </si>
  <si>
    <t>Masters 40-44 (30.06.1973)/42</t>
  </si>
  <si>
    <t>Кайкы Николай</t>
  </si>
  <si>
    <t>Masters 40-44 (08.11.1975)/40</t>
  </si>
  <si>
    <t>131,80</t>
  </si>
  <si>
    <t xml:space="preserve">Строкин А. </t>
  </si>
  <si>
    <t>Лазарев Сергей</t>
  </si>
  <si>
    <t>Open (04.04.1960)/56</t>
  </si>
  <si>
    <t>150,80</t>
  </si>
  <si>
    <t>Меренков Дмитрий</t>
  </si>
  <si>
    <t>Masters 50-54 (23.03.1966)/50</t>
  </si>
  <si>
    <t>141,90</t>
  </si>
  <si>
    <t>Masters 55-59 (04.04.1960)/56</t>
  </si>
  <si>
    <t>40,9941</t>
  </si>
  <si>
    <t>51,8689</t>
  </si>
  <si>
    <t>87,6900</t>
  </si>
  <si>
    <t>62,4152</t>
  </si>
  <si>
    <t>61,3894</t>
  </si>
  <si>
    <t>58,6200</t>
  </si>
  <si>
    <t>54,7440</t>
  </si>
  <si>
    <t>54,3025</t>
  </si>
  <si>
    <t>44,1062</t>
  </si>
  <si>
    <t>41,1475</t>
  </si>
  <si>
    <t>40,3925</t>
  </si>
  <si>
    <t>54,1966</t>
  </si>
  <si>
    <t>52,8749</t>
  </si>
  <si>
    <t>41,7544</t>
  </si>
  <si>
    <t>114,1894</t>
  </si>
  <si>
    <t>93,4962</t>
  </si>
  <si>
    <t>92,3286</t>
  </si>
  <si>
    <t>92,1656</t>
  </si>
  <si>
    <t>91,9097</t>
  </si>
  <si>
    <t>91,8299</t>
  </si>
  <si>
    <t>85,7308</t>
  </si>
  <si>
    <t>84,5964</t>
  </si>
  <si>
    <t>76,0490</t>
  </si>
  <si>
    <t>63,1400</t>
  </si>
  <si>
    <t>119,1875</t>
  </si>
  <si>
    <t>101,6593</t>
  </si>
  <si>
    <t>100,0400</t>
  </si>
  <si>
    <t>97,6923</t>
  </si>
  <si>
    <t>94,5447</t>
  </si>
  <si>
    <t>92,1650</t>
  </si>
  <si>
    <t>85,2675</t>
  </si>
  <si>
    <t>85,1802</t>
  </si>
  <si>
    <t>83,4866</t>
  </si>
  <si>
    <t>74,1731</t>
  </si>
  <si>
    <t>62,5770</t>
  </si>
  <si>
    <t>60,5747</t>
  </si>
  <si>
    <t>128,2599</t>
  </si>
  <si>
    <t>116,8505</t>
  </si>
  <si>
    <t>114,9915</t>
  </si>
  <si>
    <t>114,2825</t>
  </si>
  <si>
    <t>112,6815</t>
  </si>
  <si>
    <t>107,5200</t>
  </si>
  <si>
    <t>105,9525</t>
  </si>
  <si>
    <t>100,8975</t>
  </si>
  <si>
    <t>100,6060</t>
  </si>
  <si>
    <t>98,6220</t>
  </si>
  <si>
    <t>98,1795</t>
  </si>
  <si>
    <t>97,8956</t>
  </si>
  <si>
    <t>96,8242</t>
  </si>
  <si>
    <t>96,6160</t>
  </si>
  <si>
    <t>96,1275</t>
  </si>
  <si>
    <t>95,4955</t>
  </si>
  <si>
    <t>95,2425</t>
  </si>
  <si>
    <t>94,5195</t>
  </si>
  <si>
    <t>94,1800</t>
  </si>
  <si>
    <t>93,8880</t>
  </si>
  <si>
    <t>93,3477</t>
  </si>
  <si>
    <t>93,1525</t>
  </si>
  <si>
    <t>92,7437</t>
  </si>
  <si>
    <t>92,5710</t>
  </si>
  <si>
    <t>171,1917</t>
  </si>
  <si>
    <t>166,7065</t>
  </si>
  <si>
    <t>150,9219</t>
  </si>
  <si>
    <t>148,6798</t>
  </si>
  <si>
    <t>146,4205</t>
  </si>
  <si>
    <t>139,7908</t>
  </si>
  <si>
    <t>137,3366</t>
  </si>
  <si>
    <t xml:space="preserve">Мастера 80+ </t>
  </si>
  <si>
    <t>135,7101</t>
  </si>
  <si>
    <t>133,6277</t>
  </si>
  <si>
    <t>131,0230</t>
  </si>
  <si>
    <t>121,0531</t>
  </si>
  <si>
    <t>120,0683</t>
  </si>
  <si>
    <t>117,7222</t>
  </si>
  <si>
    <t>114,6254</t>
  </si>
  <si>
    <t>113,9434</t>
  </si>
  <si>
    <t>113,6956</t>
  </si>
  <si>
    <t>113,4526</t>
  </si>
  <si>
    <t>110,2789</t>
  </si>
  <si>
    <t>107,9927</t>
  </si>
  <si>
    <t>107,1315</t>
  </si>
  <si>
    <t>106,9061</t>
  </si>
  <si>
    <t>105,5769</t>
  </si>
  <si>
    <t>101,8814</t>
  </si>
  <si>
    <t>101,5893</t>
  </si>
  <si>
    <t xml:space="preserve">355(12+1+12+12+12+12+12+12+1+2+12+5+3+1+12+5+12+3+12+12+3+5+12+12+12+5+5+12+5+3+2+3+12+2+12+2+2+12+3+5+12+12+12+12+1+12) </t>
  </si>
  <si>
    <t xml:space="preserve">Усков Роман, Зыков Вадим, Цориев Эльдар, Шнайдер Алиса, Лазарев Сергей, Лазарев Сергей, Мясникова Ольга, Чебыкина Евгения, Кайгородцев Григорий, Казаков Роман, Лебедев Юрий, Мешков Никита, Березин Михаил, Журавлев Роман, Печеркин Илья, Кайкы Николай, Шимко Александр, Авдошин Ярослав, Антонов Эдуард, Антонов Эдуард, Сафонов Иван, Лагвилава Темур, Путилов Кирилл, Золотцев Виталий, Гаврилов Денис, Пинаев Александр, Бреднев Алексей, Тычинкин Сергей, Соколов Алексей, Карпинская Ольга, Гаврилин Дмитрий, Баранов Александр, Меренков Дмитрий, Козлихин Владимир, Маклаков Алексей, Куклин Дмитрий, Илюшин Сергей, Буланов Даниил, Кузнецов Андрей, Черников Вячеслав, Панова Светлана, Пиняжин Андрей, Пиняжин Андрей, Артемчук Валерия, Соловей Александр, Шерстнева Александра </t>
  </si>
  <si>
    <t xml:space="preserve">71(12+12+5+12+3+12+3+12) </t>
  </si>
  <si>
    <t xml:space="preserve">Шаров Андрей, Шаров Андрей, Аньика Роберт, Чуганаев Радик, Добрин Борис, Емельянова Ирина, Чемерис Александр, Мозырев Константин </t>
  </si>
  <si>
    <t xml:space="preserve">60(12+12+12+12+12) </t>
  </si>
  <si>
    <t xml:space="preserve">Норицын Андрей, Казанцев Иван, Михеев Иван, Михеев Иван, Ошивалов Анатолий </t>
  </si>
  <si>
    <t xml:space="preserve">51(12+5+5+12+12+5) </t>
  </si>
  <si>
    <t xml:space="preserve">Горбунов Юрий, Маркин Павел, Щукин Владимир, Плоских Олег, Трофимов Андрей, Редикульцев Александр </t>
  </si>
  <si>
    <t xml:space="preserve">50(1+5+5+5+12+12+5+5) </t>
  </si>
  <si>
    <t xml:space="preserve">Исаев Беслан, Кузеев Дмитрий, Кузеев Дмитрий, Карамалак Никита, Карамалак Павел, Карамалак Павел, Красовский Иван, Имамеева Светлана </t>
  </si>
  <si>
    <t xml:space="preserve">42(3+12+12+3+12) </t>
  </si>
  <si>
    <t xml:space="preserve">Сапогов Игорь, Пузыня Кирилл, Тулин Владимир, Жерновой Сергей, Цивилев Святослав </t>
  </si>
  <si>
    <t xml:space="preserve">39(12+3+12+12) </t>
  </si>
  <si>
    <t xml:space="preserve">Курок Дмитрий, Пономарёв Антон, Шишканов Александр, Смородских Андрей </t>
  </si>
  <si>
    <t xml:space="preserve">29(12+12+5) </t>
  </si>
  <si>
    <t xml:space="preserve">Бытов Юрий, Пужаев Николай, Демин Александр </t>
  </si>
  <si>
    <t xml:space="preserve">Хусаинов Руслан, Абатуров Сергей </t>
  </si>
  <si>
    <t xml:space="preserve">Геташвили Мария, Тиунов Сергей, Некрасов Дмитрий </t>
  </si>
  <si>
    <t xml:space="preserve">Флягин Никита, Лоскутников Александр </t>
  </si>
  <si>
    <t xml:space="preserve">14(2+12) </t>
  </si>
  <si>
    <t xml:space="preserve">Иглин Антон, Жебелев Андрей </t>
  </si>
  <si>
    <t xml:space="preserve">Гомалеева Наталья </t>
  </si>
  <si>
    <t xml:space="preserve">Комаров Пётр </t>
  </si>
  <si>
    <t xml:space="preserve">Табунков Дмитрий </t>
  </si>
  <si>
    <t xml:space="preserve">Зябликов Иван </t>
  </si>
  <si>
    <t xml:space="preserve">Перепёлкина Алёна </t>
  </si>
  <si>
    <t xml:space="preserve">Бартош Анжелика </t>
  </si>
  <si>
    <t xml:space="preserve">10(3+5+2) </t>
  </si>
  <si>
    <t xml:space="preserve">Федяев Илья, Нечкин Роман, Котов Сергей </t>
  </si>
  <si>
    <t xml:space="preserve">8(3+5) </t>
  </si>
  <si>
    <t xml:space="preserve">Апухтин Антон, Чевардин Иван </t>
  </si>
  <si>
    <t xml:space="preserve">Воробьёв Максим </t>
  </si>
  <si>
    <t xml:space="preserve">Сетуридзе Давид </t>
  </si>
  <si>
    <t xml:space="preserve">Тепляшин Александр </t>
  </si>
  <si>
    <t xml:space="preserve">Антипин Игорь </t>
  </si>
  <si>
    <t xml:space="preserve">Иванченков Андрей </t>
  </si>
  <si>
    <t xml:space="preserve">Греков Юрий </t>
  </si>
  <si>
    <t>Открытый Чемпионат Европы 2016 Любители жим лежа в экипировке
16 - 17.Апрель.2016</t>
  </si>
  <si>
    <t>Браславец Олеся</t>
  </si>
  <si>
    <t>Open (03.02.1981)/35</t>
  </si>
  <si>
    <t>59,50</t>
  </si>
  <si>
    <t>Трубин Владислав</t>
  </si>
  <si>
    <t>65,95</t>
  </si>
  <si>
    <t>Кадочников Андрей</t>
  </si>
  <si>
    <t>Open (14.10.1988)/27</t>
  </si>
  <si>
    <t>67,30</t>
  </si>
  <si>
    <t>Полугрудов Дмитрий</t>
  </si>
  <si>
    <t>Open (01.02.1978)/38</t>
  </si>
  <si>
    <t>74,25</t>
  </si>
  <si>
    <t xml:space="preserve">Куликов А. </t>
  </si>
  <si>
    <t>Трубин Валерий</t>
  </si>
  <si>
    <t>Masters 45-49 (22.06.1968)/47</t>
  </si>
  <si>
    <t>82,50</t>
  </si>
  <si>
    <t>Замиралов Эдуард</t>
  </si>
  <si>
    <t>Teen 18-19 (17.02.1998)/18</t>
  </si>
  <si>
    <t xml:space="preserve">Ревда/Свердловская область </t>
  </si>
  <si>
    <t>Куныгин Илья</t>
  </si>
  <si>
    <t>Open (08.12.1989)/26</t>
  </si>
  <si>
    <t>88,20</t>
  </si>
  <si>
    <t>Рудаков Александр</t>
  </si>
  <si>
    <t>Open (09.09.1990)/25</t>
  </si>
  <si>
    <t>86,35</t>
  </si>
  <si>
    <t>Борисов Пётр</t>
  </si>
  <si>
    <t>Open (19.08.1981)/34</t>
  </si>
  <si>
    <t>86,65</t>
  </si>
  <si>
    <t>Филатов Александр</t>
  </si>
  <si>
    <t>Masters 50-54 (29.04.1964)/51</t>
  </si>
  <si>
    <t>98,50</t>
  </si>
  <si>
    <t>106,60</t>
  </si>
  <si>
    <t>Masters 45-49 (15.02.1969)/47</t>
  </si>
  <si>
    <t>Кандауров Василий</t>
  </si>
  <si>
    <t>Masters 45-49 (01.06.1966)/49</t>
  </si>
  <si>
    <t>109,20</t>
  </si>
  <si>
    <t xml:space="preserve">Бузулук </t>
  </si>
  <si>
    <t xml:space="preserve">Бузулук/Оренбургская область </t>
  </si>
  <si>
    <t xml:space="preserve">Чернякин А. </t>
  </si>
  <si>
    <t>Осинцев Дмитрий</t>
  </si>
  <si>
    <t>Open (30.06.1969)/46</t>
  </si>
  <si>
    <t>122,80</t>
  </si>
  <si>
    <t>Колесниченко Сергей</t>
  </si>
  <si>
    <t>Open (19.11.1979)/36</t>
  </si>
  <si>
    <t>130,30</t>
  </si>
  <si>
    <t>317,5</t>
  </si>
  <si>
    <t>69,3600</t>
  </si>
  <si>
    <t>120,5580</t>
  </si>
  <si>
    <t>88,9560</t>
  </si>
  <si>
    <t>143,3915</t>
  </si>
  <si>
    <t>139,2610</t>
  </si>
  <si>
    <t>124,6349</t>
  </si>
  <si>
    <t>121,3583</t>
  </si>
  <si>
    <t>109,1700</t>
  </si>
  <si>
    <t>105,4856</t>
  </si>
  <si>
    <t>156,5835</t>
  </si>
  <si>
    <t>132,2035</t>
  </si>
  <si>
    <t>114,9669</t>
  </si>
  <si>
    <t>107,1861</t>
  </si>
  <si>
    <t>103,8624</t>
  </si>
  <si>
    <t xml:space="preserve">Борисов Пётр, Терентьев Александр, Терентьев Александр </t>
  </si>
  <si>
    <t xml:space="preserve">Трубин Валерий, Трубин Владислав </t>
  </si>
  <si>
    <t xml:space="preserve">Полугрудов Дмитрий </t>
  </si>
  <si>
    <t xml:space="preserve">Браславец Олеся </t>
  </si>
  <si>
    <t xml:space="preserve">Замиралов Эдуард </t>
  </si>
  <si>
    <t xml:space="preserve">Филатов Александр </t>
  </si>
  <si>
    <t xml:space="preserve">Кадочников Андрей </t>
  </si>
  <si>
    <t xml:space="preserve">Жебелев Андрей </t>
  </si>
  <si>
    <t xml:space="preserve">Куныгин Илья </t>
  </si>
  <si>
    <t xml:space="preserve">Рудаков Александр </t>
  </si>
  <si>
    <t xml:space="preserve">Кандауров Василий </t>
  </si>
  <si>
    <t>Открытый Чемпионат Европы 2016 Любители становая тяга в экипировке
16 - 17.Апрель.2016</t>
  </si>
  <si>
    <t>Смирнова Екатерина</t>
  </si>
  <si>
    <t>Open (23.09.1982)/33</t>
  </si>
  <si>
    <t>43,60</t>
  </si>
  <si>
    <t xml:space="preserve">Еськин Н. </t>
  </si>
  <si>
    <t>Open (15.10.1999)/16</t>
  </si>
  <si>
    <t>Валиева Луиза</t>
  </si>
  <si>
    <t>Teen 18-19 (15.08.1996)/19</t>
  </si>
  <si>
    <t xml:space="preserve">Коноров Д. </t>
  </si>
  <si>
    <t>Насырова Алина</t>
  </si>
  <si>
    <t>Open (27.08.1988)/27</t>
  </si>
  <si>
    <t xml:space="preserve">Уфа/Башкортостан </t>
  </si>
  <si>
    <t xml:space="preserve">Тюлькин Е. </t>
  </si>
  <si>
    <t>Бабушкин Иван</t>
  </si>
  <si>
    <t>Open (30.07.1983)/32</t>
  </si>
  <si>
    <t>89,60</t>
  </si>
  <si>
    <t xml:space="preserve">Обжилянский В. </t>
  </si>
  <si>
    <t>Зенков Евгений</t>
  </si>
  <si>
    <t>Teen 13-15 (29.11.2002)/13</t>
  </si>
  <si>
    <t>94,95</t>
  </si>
  <si>
    <t>83,0185</t>
  </si>
  <si>
    <t>106,7110</t>
  </si>
  <si>
    <t>103,9650</t>
  </si>
  <si>
    <t>80,9789</t>
  </si>
  <si>
    <t>78,6960</t>
  </si>
  <si>
    <t>76,8436</t>
  </si>
  <si>
    <t>142,5360</t>
  </si>
  <si>
    <t>120,3965</t>
  </si>
  <si>
    <t>117,3800</t>
  </si>
  <si>
    <t>115,6837</t>
  </si>
  <si>
    <t>65,9269</t>
  </si>
  <si>
    <t>126,5797</t>
  </si>
  <si>
    <t>112,3980</t>
  </si>
  <si>
    <t xml:space="preserve">Абрамян Давид, Валиева Луиза, Смирнова Екатерина, Бессонова Ольга </t>
  </si>
  <si>
    <t xml:space="preserve">Насырова Алина, Тяжельников Вячеслав, Тяжельников Вячеслав </t>
  </si>
  <si>
    <t xml:space="preserve">Зенков Евгений, Главатских Полина </t>
  </si>
  <si>
    <t xml:space="preserve">Гагарин Дмитрий </t>
  </si>
  <si>
    <t xml:space="preserve">Бабушкин Иван </t>
  </si>
  <si>
    <t>Открытый Чемпионат НАП Европы 2016 Любители присед без экипировки
16 - 17.Апрель.2016</t>
  </si>
  <si>
    <t>Репницын А.</t>
  </si>
  <si>
    <t>Репницына М.</t>
  </si>
  <si>
    <t>Председатель жюри:</t>
  </si>
  <si>
    <t>Пономарёв А.</t>
  </si>
  <si>
    <t>Горелов А., Батурина А.</t>
  </si>
  <si>
    <t>Зам.главного судьи:</t>
  </si>
  <si>
    <t>Жиляков В., Блинков В.</t>
  </si>
  <si>
    <t>Сиренко А., Томчин М., Ильин Д., Репницын И., Томчина Л.</t>
  </si>
  <si>
    <t>Пономарёва Ю., Бызов Е., Голов А., Щербаков О., Карачевцев А., Катюкова Н.</t>
  </si>
  <si>
    <t>Бажин К., Гурьев В., Иванченко А., Браславец О., Катков 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</si>
</sst>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0.000"/>
  </numFmts>
  <fonts count="47">
    <font>
      <sz val="10"/>
      <name val="Arial Cyr"/>
      <family val="0"/>
    </font>
    <font>
      <sz val="24"/>
      <name val="Arial Cyr"/>
      <family val="2"/>
    </font>
    <font>
      <b/>
      <sz val="10"/>
      <name val="Arial Cyr"/>
      <family val="0"/>
    </font>
    <font>
      <b/>
      <sz val="11"/>
      <name val="Arial Cyr"/>
      <family val="0"/>
    </font>
    <font>
      <sz val="11"/>
      <name val="Arial Cyr"/>
      <family val="0"/>
    </font>
    <font>
      <sz val="12"/>
      <name val="Arial Cyr"/>
      <family val="0"/>
    </font>
    <font>
      <b/>
      <i/>
      <sz val="12"/>
      <name val="Arial Cyr"/>
      <family val="0"/>
    </font>
    <font>
      <i/>
      <sz val="12"/>
      <name val="Arial Cyr"/>
      <family val="0"/>
    </font>
    <font>
      <strike/>
      <sz val="10"/>
      <name val="Arial Cyr"/>
      <family val="0"/>
    </font>
    <font>
      <b/>
      <sz val="14"/>
      <name val="Arial Cyr"/>
      <family val="0"/>
    </font>
    <font>
      <sz val="14"/>
      <name val="Arial Cyr"/>
      <family val="0"/>
    </font>
    <font>
      <b/>
      <i/>
      <sz val="11"/>
      <name val="Arial Cyr"/>
      <family val="0"/>
    </font>
    <font>
      <i/>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7">
    <xf numFmtId="0" fontId="0" fillId="0" borderId="0" xfId="0" applyAlignment="1">
      <alignment/>
    </xf>
    <xf numFmtId="49" fontId="0" fillId="0" borderId="0" xfId="0" applyNumberFormat="1" applyFill="1" applyBorder="1" applyAlignment="1">
      <alignment horizontal="center"/>
    </xf>
    <xf numFmtId="49" fontId="3"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2" fillId="0" borderId="0" xfId="0" applyNumberFormat="1" applyFont="1" applyFill="1" applyBorder="1" applyAlignment="1">
      <alignment horizontal="left"/>
    </xf>
    <xf numFmtId="49" fontId="0" fillId="0" borderId="0" xfId="0" applyNumberFormat="1" applyFill="1" applyBorder="1" applyAlignment="1">
      <alignment horizontal="left"/>
    </xf>
    <xf numFmtId="49" fontId="2" fillId="0" borderId="11" xfId="0" applyNumberFormat="1" applyFont="1" applyFill="1" applyBorder="1" applyAlignment="1">
      <alignment horizontal="left"/>
    </xf>
    <xf numFmtId="49" fontId="0" fillId="0" borderId="11" xfId="0" applyNumberFormat="1" applyFill="1" applyBorder="1" applyAlignment="1">
      <alignment horizontal="center"/>
    </xf>
    <xf numFmtId="49" fontId="0" fillId="0" borderId="11" xfId="0" applyNumberFormat="1" applyFill="1" applyBorder="1" applyAlignment="1">
      <alignment horizontal="left"/>
    </xf>
    <xf numFmtId="49" fontId="8" fillId="0" borderId="11" xfId="0" applyNumberFormat="1" applyFont="1" applyFill="1" applyBorder="1" applyAlignment="1">
      <alignment horizontal="center"/>
    </xf>
    <xf numFmtId="49" fontId="2" fillId="0" borderId="12" xfId="0" applyNumberFormat="1" applyFont="1" applyFill="1" applyBorder="1" applyAlignment="1">
      <alignment horizontal="left"/>
    </xf>
    <xf numFmtId="49" fontId="0" fillId="0" borderId="12" xfId="0" applyNumberFormat="1" applyFill="1" applyBorder="1" applyAlignment="1">
      <alignment horizontal="center"/>
    </xf>
    <xf numFmtId="49" fontId="0" fillId="0" borderId="12" xfId="0" applyNumberFormat="1" applyFill="1" applyBorder="1" applyAlignment="1">
      <alignment horizontal="left"/>
    </xf>
    <xf numFmtId="49" fontId="8" fillId="0" borderId="12" xfId="0" applyNumberFormat="1" applyFont="1" applyFill="1" applyBorder="1" applyAlignment="1">
      <alignment horizontal="center"/>
    </xf>
    <xf numFmtId="49" fontId="7" fillId="0" borderId="0" xfId="0" applyNumberFormat="1" applyFont="1" applyFill="1" applyBorder="1" applyAlignment="1">
      <alignment horizontal="center"/>
    </xf>
    <xf numFmtId="49" fontId="2" fillId="0" borderId="13" xfId="0" applyNumberFormat="1" applyFont="1" applyFill="1" applyBorder="1" applyAlignment="1">
      <alignment horizontal="left"/>
    </xf>
    <xf numFmtId="49" fontId="0" fillId="0" borderId="13" xfId="0" applyNumberFormat="1" applyFill="1" applyBorder="1" applyAlignment="1">
      <alignment horizontal="center"/>
    </xf>
    <xf numFmtId="49" fontId="0" fillId="0" borderId="13" xfId="0" applyNumberFormat="1" applyFill="1" applyBorder="1" applyAlignment="1">
      <alignment horizontal="left"/>
    </xf>
    <xf numFmtId="49" fontId="8" fillId="0" borderId="13" xfId="0" applyNumberFormat="1" applyFont="1" applyFill="1" applyBorder="1" applyAlignment="1">
      <alignment horizontal="center"/>
    </xf>
    <xf numFmtId="49" fontId="2" fillId="0" borderId="14" xfId="0" applyNumberFormat="1" applyFont="1" applyFill="1" applyBorder="1" applyAlignment="1">
      <alignment horizontal="left"/>
    </xf>
    <xf numFmtId="49" fontId="0" fillId="0" borderId="14" xfId="0" applyNumberFormat="1" applyFill="1" applyBorder="1" applyAlignment="1">
      <alignment horizontal="center"/>
    </xf>
    <xf numFmtId="49" fontId="0" fillId="0" borderId="14" xfId="0" applyNumberFormat="1" applyFill="1" applyBorder="1" applyAlignment="1">
      <alignment horizontal="left"/>
    </xf>
    <xf numFmtId="49" fontId="8" fillId="0" borderId="14" xfId="0" applyNumberFormat="1" applyFont="1" applyFill="1" applyBorder="1" applyAlignment="1">
      <alignment horizontal="center"/>
    </xf>
    <xf numFmtId="49" fontId="9" fillId="0" borderId="0" xfId="0" applyNumberFormat="1" applyFont="1" applyFill="1" applyBorder="1" applyAlignment="1">
      <alignment horizontal="left"/>
    </xf>
    <xf numFmtId="49" fontId="10"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2" fillId="0" borderId="0" xfId="0" applyNumberFormat="1" applyFont="1" applyFill="1" applyBorder="1" applyAlignment="1">
      <alignment horizontal="left" indent="1"/>
    </xf>
    <xf numFmtId="49" fontId="11" fillId="0" borderId="0" xfId="0" applyNumberFormat="1" applyFont="1" applyFill="1" applyBorder="1" applyAlignment="1">
      <alignment horizontal="left" indent="1"/>
    </xf>
    <xf numFmtId="49" fontId="12" fillId="0" borderId="0" xfId="0" applyNumberFormat="1" applyFont="1" applyFill="1" applyBorder="1" applyAlignment="1">
      <alignment horizontal="center"/>
    </xf>
    <xf numFmtId="49" fontId="3" fillId="0" borderId="14" xfId="0" applyNumberFormat="1" applyFont="1" applyFill="1" applyBorder="1" applyAlignment="1">
      <alignment horizontal="center" vertical="center"/>
    </xf>
    <xf numFmtId="49" fontId="0" fillId="0" borderId="0" xfId="0" applyNumberFormat="1" applyAlignment="1">
      <alignment/>
    </xf>
    <xf numFmtId="49" fontId="0" fillId="0" borderId="14" xfId="0" applyNumberFormat="1" applyBorder="1" applyAlignment="1">
      <alignment/>
    </xf>
    <xf numFmtId="49" fontId="8" fillId="0" borderId="14" xfId="0" applyNumberFormat="1" applyFont="1" applyBorder="1" applyAlignment="1">
      <alignment/>
    </xf>
    <xf numFmtId="49" fontId="0" fillId="0" borderId="11" xfId="0" applyNumberFormat="1" applyBorder="1" applyAlignment="1">
      <alignment/>
    </xf>
    <xf numFmtId="49" fontId="8" fillId="0" borderId="11" xfId="0" applyNumberFormat="1" applyFont="1" applyBorder="1" applyAlignment="1">
      <alignment/>
    </xf>
    <xf numFmtId="49" fontId="0" fillId="0" borderId="13" xfId="0" applyNumberFormat="1" applyBorder="1" applyAlignment="1">
      <alignment/>
    </xf>
    <xf numFmtId="49" fontId="8" fillId="0" borderId="13" xfId="0" applyNumberFormat="1" applyFont="1" applyBorder="1" applyAlignment="1">
      <alignment/>
    </xf>
    <xf numFmtId="49" fontId="0" fillId="0" borderId="12" xfId="0" applyNumberFormat="1" applyBorder="1" applyAlignment="1">
      <alignment/>
    </xf>
    <xf numFmtId="49" fontId="8" fillId="0" borderId="12" xfId="0" applyNumberFormat="1" applyFont="1" applyBorder="1" applyAlignment="1">
      <alignment/>
    </xf>
    <xf numFmtId="49" fontId="5" fillId="0" borderId="0" xfId="0" applyNumberFormat="1" applyFont="1" applyAlignment="1">
      <alignment horizontal="left"/>
    </xf>
    <xf numFmtId="49" fontId="10" fillId="0" borderId="0" xfId="0" applyNumberFormat="1" applyFont="1" applyAlignment="1">
      <alignment/>
    </xf>
    <xf numFmtId="49" fontId="5" fillId="0" borderId="0" xfId="0" applyNumberFormat="1" applyFont="1" applyAlignment="1">
      <alignment/>
    </xf>
    <xf numFmtId="49" fontId="7" fillId="0" borderId="0" xfId="0" applyNumberFormat="1" applyFont="1" applyAlignment="1">
      <alignment/>
    </xf>
    <xf numFmtId="49" fontId="0" fillId="0" borderId="0" xfId="0" applyNumberFormat="1" applyAlignment="1">
      <alignment horizontal="left" indent="1"/>
    </xf>
    <xf numFmtId="49" fontId="12" fillId="0" borderId="0" xfId="0" applyNumberFormat="1" applyFont="1" applyAlignment="1">
      <alignment horizontal="left" indent="1"/>
    </xf>
    <xf numFmtId="49" fontId="12" fillId="0" borderId="0" xfId="0" applyNumberFormat="1" applyFont="1" applyAlignment="1">
      <alignment/>
    </xf>
    <xf numFmtId="49" fontId="3" fillId="0" borderId="14" xfId="0" applyNumberFormat="1" applyFont="1" applyBorder="1" applyAlignment="1">
      <alignment horizontal="center" vertical="center"/>
    </xf>
    <xf numFmtId="49" fontId="2" fillId="0" borderId="0" xfId="0" applyNumberFormat="1" applyFont="1" applyAlignment="1">
      <alignmen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7" fillId="0" borderId="16" xfId="0" applyNumberFormat="1" applyFont="1" applyBorder="1" applyAlignment="1">
      <alignment horizontal="center"/>
    </xf>
    <xf numFmtId="49" fontId="7" fillId="0" borderId="0" xfId="0" applyNumberFormat="1" applyFont="1" applyAlignment="1">
      <alignment horizontal="center"/>
    </xf>
    <xf numFmtId="49" fontId="6"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49" fontId="6" fillId="0" borderId="16" xfId="0" applyNumberFormat="1" applyFont="1" applyFill="1" applyBorder="1" applyAlignment="1">
      <alignment horizontal="center"/>
    </xf>
    <xf numFmtId="49" fontId="7" fillId="0" borderId="16"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3.875" style="30" customWidth="1"/>
    <col min="4" max="4" width="10.625" style="30" bestFit="1" customWidth="1"/>
    <col min="5" max="5" width="22.75390625" style="30" bestFit="1" customWidth="1"/>
    <col min="6" max="6" width="36.875" style="30" bestFit="1" customWidth="1"/>
    <col min="7" max="10" width="5.625" style="30" bestFit="1" customWidth="1"/>
    <col min="11" max="11" width="7.875" style="30" bestFit="1" customWidth="1"/>
    <col min="12" max="12" width="8.625" style="30" bestFit="1" customWidth="1"/>
    <col min="13" max="13" width="15.75390625" style="30" bestFit="1" customWidth="1"/>
  </cols>
  <sheetData>
    <row r="1" spans="1:13" s="1" customFormat="1" ht="15" customHeight="1">
      <c r="A1" s="48" t="s">
        <v>1934</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1</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14</v>
      </c>
      <c r="B5" s="61"/>
      <c r="C5" s="61"/>
      <c r="D5" s="61"/>
      <c r="E5" s="61"/>
      <c r="F5" s="61"/>
      <c r="G5" s="61"/>
      <c r="H5" s="61"/>
      <c r="I5" s="61"/>
      <c r="J5" s="61"/>
      <c r="K5" s="61"/>
      <c r="L5" s="61"/>
    </row>
    <row r="6" spans="1:13" ht="12.75">
      <c r="A6" s="31" t="s">
        <v>1897</v>
      </c>
      <c r="B6" s="31" t="s">
        <v>1898</v>
      </c>
      <c r="C6" s="31" t="s">
        <v>1899</v>
      </c>
      <c r="D6" s="31" t="str">
        <f>"1,1170"</f>
        <v>1,1170</v>
      </c>
      <c r="E6" s="31" t="s">
        <v>26</v>
      </c>
      <c r="F6" s="31" t="s">
        <v>27</v>
      </c>
      <c r="G6" s="32" t="s">
        <v>391</v>
      </c>
      <c r="H6" s="32" t="s">
        <v>421</v>
      </c>
      <c r="I6" s="31" t="s">
        <v>421</v>
      </c>
      <c r="J6" s="32"/>
      <c r="K6" s="31">
        <v>72.5</v>
      </c>
      <c r="L6" s="31" t="str">
        <f>"80,9789"</f>
        <v>80,9789</v>
      </c>
      <c r="M6" s="31" t="s">
        <v>1900</v>
      </c>
    </row>
    <row r="8" spans="1:12" ht="15">
      <c r="A8" s="62" t="s">
        <v>33</v>
      </c>
      <c r="B8" s="62"/>
      <c r="C8" s="62"/>
      <c r="D8" s="62"/>
      <c r="E8" s="62"/>
      <c r="F8" s="62"/>
      <c r="G8" s="62"/>
      <c r="H8" s="62"/>
      <c r="I8" s="62"/>
      <c r="J8" s="62"/>
      <c r="K8" s="62"/>
      <c r="L8" s="62"/>
    </row>
    <row r="9" spans="1:13" ht="12.75">
      <c r="A9" s="31" t="s">
        <v>34</v>
      </c>
      <c r="B9" s="31" t="s">
        <v>1901</v>
      </c>
      <c r="C9" s="31" t="s">
        <v>36</v>
      </c>
      <c r="D9" s="31" t="str">
        <f>"1,0396"</f>
        <v>1,0396</v>
      </c>
      <c r="E9" s="31" t="s">
        <v>37</v>
      </c>
      <c r="F9" s="31" t="s">
        <v>38</v>
      </c>
      <c r="G9" s="31" t="s">
        <v>70</v>
      </c>
      <c r="H9" s="31" t="s">
        <v>28</v>
      </c>
      <c r="I9" s="32" t="s">
        <v>47</v>
      </c>
      <c r="J9" s="32"/>
      <c r="K9" s="31">
        <v>100</v>
      </c>
      <c r="L9" s="31" t="str">
        <f>"103,9650"</f>
        <v>103,9650</v>
      </c>
      <c r="M9" s="31" t="s">
        <v>41</v>
      </c>
    </row>
    <row r="11" spans="1:12" ht="15">
      <c r="A11" s="62" t="s">
        <v>50</v>
      </c>
      <c r="B11" s="62"/>
      <c r="C11" s="62"/>
      <c r="D11" s="62"/>
      <c r="E11" s="62"/>
      <c r="F11" s="62"/>
      <c r="G11" s="62"/>
      <c r="H11" s="62"/>
      <c r="I11" s="62"/>
      <c r="J11" s="62"/>
      <c r="K11" s="62"/>
      <c r="L11" s="62"/>
    </row>
    <row r="12" spans="1:13" ht="12.75">
      <c r="A12" s="31" t="s">
        <v>51</v>
      </c>
      <c r="B12" s="31" t="s">
        <v>52</v>
      </c>
      <c r="C12" s="31" t="s">
        <v>53</v>
      </c>
      <c r="D12" s="31" t="str">
        <f>"0,9701"</f>
        <v>0,9701</v>
      </c>
      <c r="E12" s="31" t="s">
        <v>26</v>
      </c>
      <c r="F12" s="31" t="s">
        <v>27</v>
      </c>
      <c r="G12" s="31" t="s">
        <v>28</v>
      </c>
      <c r="H12" s="31" t="s">
        <v>30</v>
      </c>
      <c r="I12" s="32" t="s">
        <v>48</v>
      </c>
      <c r="J12" s="32"/>
      <c r="K12" s="31">
        <v>110</v>
      </c>
      <c r="L12" s="31" t="str">
        <f>"106,7110"</f>
        <v>106,7110</v>
      </c>
      <c r="M12" s="31" t="s">
        <v>57</v>
      </c>
    </row>
    <row r="14" spans="1:12" ht="15">
      <c r="A14" s="62" t="s">
        <v>83</v>
      </c>
      <c r="B14" s="62"/>
      <c r="C14" s="62"/>
      <c r="D14" s="62"/>
      <c r="E14" s="62"/>
      <c r="F14" s="62"/>
      <c r="G14" s="62"/>
      <c r="H14" s="62"/>
      <c r="I14" s="62"/>
      <c r="J14" s="62"/>
      <c r="K14" s="62"/>
      <c r="L14" s="62"/>
    </row>
    <row r="15" spans="1:13" ht="12.75">
      <c r="A15" s="33" t="s">
        <v>1902</v>
      </c>
      <c r="B15" s="33" t="s">
        <v>1903</v>
      </c>
      <c r="C15" s="33" t="s">
        <v>562</v>
      </c>
      <c r="D15" s="33" t="str">
        <f>"0,8870"</f>
        <v>0,8870</v>
      </c>
      <c r="E15" s="33" t="s">
        <v>26</v>
      </c>
      <c r="F15" s="33" t="s">
        <v>27</v>
      </c>
      <c r="G15" s="33" t="s">
        <v>70</v>
      </c>
      <c r="H15" s="34" t="s">
        <v>28</v>
      </c>
      <c r="I15" s="34" t="s">
        <v>28</v>
      </c>
      <c r="J15" s="34"/>
      <c r="K15" s="33">
        <v>90</v>
      </c>
      <c r="L15" s="33" t="str">
        <f>"83,0185"</f>
        <v>83,0185</v>
      </c>
      <c r="M15" s="33" t="s">
        <v>1904</v>
      </c>
    </row>
    <row r="16" spans="1:13" ht="12.75">
      <c r="A16" s="37" t="s">
        <v>1905</v>
      </c>
      <c r="B16" s="37" t="s">
        <v>1906</v>
      </c>
      <c r="C16" s="37" t="s">
        <v>90</v>
      </c>
      <c r="D16" s="37" t="str">
        <f>"0,8744"</f>
        <v>0,8744</v>
      </c>
      <c r="E16" s="37" t="s">
        <v>68</v>
      </c>
      <c r="F16" s="37" t="s">
        <v>1907</v>
      </c>
      <c r="G16" s="37" t="s">
        <v>70</v>
      </c>
      <c r="H16" s="38" t="s">
        <v>29</v>
      </c>
      <c r="I16" s="38" t="s">
        <v>29</v>
      </c>
      <c r="J16" s="38"/>
      <c r="K16" s="37">
        <v>90</v>
      </c>
      <c r="L16" s="37" t="str">
        <f>"78,6960"</f>
        <v>78,6960</v>
      </c>
      <c r="M16" s="37" t="s">
        <v>1908</v>
      </c>
    </row>
    <row r="18" spans="1:12" ht="15">
      <c r="A18" s="62" t="s">
        <v>93</v>
      </c>
      <c r="B18" s="62"/>
      <c r="C18" s="62"/>
      <c r="D18" s="62"/>
      <c r="E18" s="62"/>
      <c r="F18" s="62"/>
      <c r="G18" s="62"/>
      <c r="H18" s="62"/>
      <c r="I18" s="62"/>
      <c r="J18" s="62"/>
      <c r="K18" s="62"/>
      <c r="L18" s="62"/>
    </row>
    <row r="19" spans="1:13" ht="12.75">
      <c r="A19" s="31" t="s">
        <v>1063</v>
      </c>
      <c r="B19" s="31" t="s">
        <v>1064</v>
      </c>
      <c r="C19" s="31" t="s">
        <v>1065</v>
      </c>
      <c r="D19" s="31" t="str">
        <f>"0,8026"</f>
        <v>0,8026</v>
      </c>
      <c r="E19" s="31" t="s">
        <v>112</v>
      </c>
      <c r="F19" s="31" t="s">
        <v>38</v>
      </c>
      <c r="G19" s="32" t="s">
        <v>391</v>
      </c>
      <c r="H19" s="32"/>
      <c r="I19" s="32"/>
      <c r="J19" s="32"/>
      <c r="K19" s="31">
        <v>0</v>
      </c>
      <c r="L19" s="31" t="str">
        <f>"0,0000"</f>
        <v>0,0000</v>
      </c>
      <c r="M19" s="31" t="s">
        <v>41</v>
      </c>
    </row>
    <row r="21" spans="1:12" ht="15">
      <c r="A21" s="62" t="s">
        <v>152</v>
      </c>
      <c r="B21" s="62"/>
      <c r="C21" s="62"/>
      <c r="D21" s="62"/>
      <c r="E21" s="62"/>
      <c r="F21" s="62"/>
      <c r="G21" s="62"/>
      <c r="H21" s="62"/>
      <c r="I21" s="62"/>
      <c r="J21" s="62"/>
      <c r="K21" s="62"/>
      <c r="L21" s="62"/>
    </row>
    <row r="22" spans="1:13" ht="12.75">
      <c r="A22" s="31" t="s">
        <v>1135</v>
      </c>
      <c r="B22" s="31" t="s">
        <v>1136</v>
      </c>
      <c r="C22" s="31" t="s">
        <v>1137</v>
      </c>
      <c r="D22" s="31" t="str">
        <f>"0,6238"</f>
        <v>0,6238</v>
      </c>
      <c r="E22" s="31" t="s">
        <v>61</v>
      </c>
      <c r="F22" s="31" t="s">
        <v>46</v>
      </c>
      <c r="G22" s="32" t="s">
        <v>124</v>
      </c>
      <c r="H22" s="32" t="s">
        <v>124</v>
      </c>
      <c r="I22" s="32" t="s">
        <v>124</v>
      </c>
      <c r="J22" s="32"/>
      <c r="K22" s="31">
        <v>0</v>
      </c>
      <c r="L22" s="31" t="str">
        <f>"0,0000"</f>
        <v>0,0000</v>
      </c>
      <c r="M22" s="31" t="s">
        <v>1138</v>
      </c>
    </row>
    <row r="24" spans="1:12" ht="15">
      <c r="A24" s="62" t="s">
        <v>178</v>
      </c>
      <c r="B24" s="62"/>
      <c r="C24" s="62"/>
      <c r="D24" s="62"/>
      <c r="E24" s="62"/>
      <c r="F24" s="62"/>
      <c r="G24" s="62"/>
      <c r="H24" s="62"/>
      <c r="I24" s="62"/>
      <c r="J24" s="62"/>
      <c r="K24" s="62"/>
      <c r="L24" s="62"/>
    </row>
    <row r="25" spans="1:13" ht="12.75">
      <c r="A25" s="33" t="s">
        <v>1142</v>
      </c>
      <c r="B25" s="33" t="s">
        <v>1143</v>
      </c>
      <c r="C25" s="33" t="s">
        <v>1144</v>
      </c>
      <c r="D25" s="33" t="str">
        <f>"0,5939"</f>
        <v>0,5939</v>
      </c>
      <c r="E25" s="33" t="s">
        <v>26</v>
      </c>
      <c r="F25" s="33" t="s">
        <v>27</v>
      </c>
      <c r="G25" s="33" t="s">
        <v>231</v>
      </c>
      <c r="H25" s="33" t="s">
        <v>192</v>
      </c>
      <c r="I25" s="33" t="s">
        <v>163</v>
      </c>
      <c r="J25" s="34"/>
      <c r="K25" s="33">
        <v>240</v>
      </c>
      <c r="L25" s="33" t="str">
        <f>"142,5360"</f>
        <v>142,5360</v>
      </c>
      <c r="M25" s="33" t="s">
        <v>49</v>
      </c>
    </row>
    <row r="26" spans="1:13" ht="12.75">
      <c r="A26" s="35" t="s">
        <v>1145</v>
      </c>
      <c r="B26" s="35" t="s">
        <v>1146</v>
      </c>
      <c r="C26" s="35" t="s">
        <v>1147</v>
      </c>
      <c r="D26" s="35" t="str">
        <f>"0,5873"</f>
        <v>0,5873</v>
      </c>
      <c r="E26" s="35" t="s">
        <v>1060</v>
      </c>
      <c r="F26" s="35" t="s">
        <v>1061</v>
      </c>
      <c r="G26" s="35" t="s">
        <v>252</v>
      </c>
      <c r="H26" s="35" t="s">
        <v>218</v>
      </c>
      <c r="I26" s="35" t="s">
        <v>125</v>
      </c>
      <c r="J26" s="36"/>
      <c r="K26" s="35">
        <v>205</v>
      </c>
      <c r="L26" s="35" t="str">
        <f>"120,3965"</f>
        <v>120,3965</v>
      </c>
      <c r="M26" s="35" t="s">
        <v>1148</v>
      </c>
    </row>
    <row r="27" spans="1:13" ht="12.75">
      <c r="A27" s="35" t="s">
        <v>1909</v>
      </c>
      <c r="B27" s="35" t="s">
        <v>1910</v>
      </c>
      <c r="C27" s="35" t="s">
        <v>1911</v>
      </c>
      <c r="D27" s="35" t="str">
        <f>"0,5869"</f>
        <v>0,5869</v>
      </c>
      <c r="E27" s="35" t="s">
        <v>866</v>
      </c>
      <c r="F27" s="35" t="s">
        <v>867</v>
      </c>
      <c r="G27" s="35" t="s">
        <v>123</v>
      </c>
      <c r="H27" s="35" t="s">
        <v>218</v>
      </c>
      <c r="I27" s="36" t="s">
        <v>231</v>
      </c>
      <c r="J27" s="36"/>
      <c r="K27" s="35">
        <v>200</v>
      </c>
      <c r="L27" s="35" t="str">
        <f>"117,3800"</f>
        <v>117,3800</v>
      </c>
      <c r="M27" s="35" t="s">
        <v>1912</v>
      </c>
    </row>
    <row r="28" spans="1:13" ht="12.75">
      <c r="A28" s="37" t="s">
        <v>1152</v>
      </c>
      <c r="B28" s="37" t="s">
        <v>1153</v>
      </c>
      <c r="C28" s="37" t="s">
        <v>1154</v>
      </c>
      <c r="D28" s="37" t="str">
        <f>"0,5932"</f>
        <v>0,5932</v>
      </c>
      <c r="E28" s="37" t="s">
        <v>77</v>
      </c>
      <c r="F28" s="37" t="s">
        <v>78</v>
      </c>
      <c r="G28" s="37" t="s">
        <v>123</v>
      </c>
      <c r="H28" s="38" t="s">
        <v>124</v>
      </c>
      <c r="I28" s="37" t="s">
        <v>252</v>
      </c>
      <c r="J28" s="38"/>
      <c r="K28" s="37">
        <v>195</v>
      </c>
      <c r="L28" s="37" t="str">
        <f>"115,6837"</f>
        <v>115,6837</v>
      </c>
      <c r="M28" s="37" t="s">
        <v>49</v>
      </c>
    </row>
    <row r="30" spans="1:12" ht="15">
      <c r="A30" s="62" t="s">
        <v>206</v>
      </c>
      <c r="B30" s="62"/>
      <c r="C30" s="62"/>
      <c r="D30" s="62"/>
      <c r="E30" s="62"/>
      <c r="F30" s="62"/>
      <c r="G30" s="62"/>
      <c r="H30" s="62"/>
      <c r="I30" s="62"/>
      <c r="J30" s="62"/>
      <c r="K30" s="62"/>
      <c r="L30" s="62"/>
    </row>
    <row r="31" spans="1:13" ht="12.75">
      <c r="A31" s="31" t="s">
        <v>1913</v>
      </c>
      <c r="B31" s="31" t="s">
        <v>1914</v>
      </c>
      <c r="C31" s="31" t="s">
        <v>1915</v>
      </c>
      <c r="D31" s="31" t="str">
        <f>"0,5680"</f>
        <v>0,5680</v>
      </c>
      <c r="E31" s="31" t="s">
        <v>37</v>
      </c>
      <c r="F31" s="31" t="s">
        <v>38</v>
      </c>
      <c r="G31" s="31" t="s">
        <v>70</v>
      </c>
      <c r="H31" s="31" t="s">
        <v>28</v>
      </c>
      <c r="I31" s="31" t="s">
        <v>30</v>
      </c>
      <c r="J31" s="32"/>
      <c r="K31" s="31">
        <v>110</v>
      </c>
      <c r="L31" s="31" t="str">
        <f>"76,8436"</f>
        <v>76,8436</v>
      </c>
      <c r="M31" s="31" t="s">
        <v>41</v>
      </c>
    </row>
    <row r="33" spans="1:12" ht="15">
      <c r="A33" s="62" t="s">
        <v>235</v>
      </c>
      <c r="B33" s="62"/>
      <c r="C33" s="62"/>
      <c r="D33" s="62"/>
      <c r="E33" s="62"/>
      <c r="F33" s="62"/>
      <c r="G33" s="62"/>
      <c r="H33" s="62"/>
      <c r="I33" s="62"/>
      <c r="J33" s="62"/>
      <c r="K33" s="62"/>
      <c r="L33" s="62"/>
    </row>
    <row r="34" spans="1:13" ht="12.75">
      <c r="A34" s="31" t="s">
        <v>247</v>
      </c>
      <c r="B34" s="31" t="s">
        <v>248</v>
      </c>
      <c r="C34" s="31" t="s">
        <v>249</v>
      </c>
      <c r="D34" s="31" t="str">
        <f>"0,5500"</f>
        <v>0,5500</v>
      </c>
      <c r="E34" s="31" t="s">
        <v>250</v>
      </c>
      <c r="F34" s="31" t="s">
        <v>251</v>
      </c>
      <c r="G34" s="32" t="s">
        <v>124</v>
      </c>
      <c r="H34" s="31" t="s">
        <v>124</v>
      </c>
      <c r="I34" s="31" t="s">
        <v>252</v>
      </c>
      <c r="J34" s="32"/>
      <c r="K34" s="31">
        <v>195</v>
      </c>
      <c r="L34" s="31" t="str">
        <f>"112,3980"</f>
        <v>112,3980</v>
      </c>
      <c r="M34" s="31" t="s">
        <v>253</v>
      </c>
    </row>
    <row r="36" spans="1:12" ht="15">
      <c r="A36" s="62" t="s">
        <v>268</v>
      </c>
      <c r="B36" s="62"/>
      <c r="C36" s="62"/>
      <c r="D36" s="62"/>
      <c r="E36" s="62"/>
      <c r="F36" s="62"/>
      <c r="G36" s="62"/>
      <c r="H36" s="62"/>
      <c r="I36" s="62"/>
      <c r="J36" s="62"/>
      <c r="K36" s="62"/>
      <c r="L36" s="62"/>
    </row>
    <row r="37" spans="1:13" ht="12.75">
      <c r="A37" s="33" t="s">
        <v>269</v>
      </c>
      <c r="B37" s="33" t="s">
        <v>270</v>
      </c>
      <c r="C37" s="33" t="s">
        <v>271</v>
      </c>
      <c r="D37" s="33" t="str">
        <f>"0,5071"</f>
        <v>0,5071</v>
      </c>
      <c r="E37" s="33" t="s">
        <v>68</v>
      </c>
      <c r="F37" s="33" t="s">
        <v>273</v>
      </c>
      <c r="G37" s="33" t="s">
        <v>39</v>
      </c>
      <c r="H37" s="33" t="s">
        <v>99</v>
      </c>
      <c r="I37" s="33" t="s">
        <v>62</v>
      </c>
      <c r="J37" s="33" t="s">
        <v>467</v>
      </c>
      <c r="K37" s="33">
        <v>130</v>
      </c>
      <c r="L37" s="33" t="str">
        <f>"65,9269"</f>
        <v>65,9269</v>
      </c>
      <c r="M37" s="33" t="s">
        <v>277</v>
      </c>
    </row>
    <row r="38" spans="1:13" ht="12.75">
      <c r="A38" s="37" t="s">
        <v>269</v>
      </c>
      <c r="B38" s="37" t="s">
        <v>278</v>
      </c>
      <c r="C38" s="37" t="s">
        <v>271</v>
      </c>
      <c r="D38" s="37" t="str">
        <f>"0,5071"</f>
        <v>0,5071</v>
      </c>
      <c r="E38" s="37" t="s">
        <v>68</v>
      </c>
      <c r="F38" s="37" t="s">
        <v>273</v>
      </c>
      <c r="G38" s="37" t="s">
        <v>39</v>
      </c>
      <c r="H38" s="37" t="s">
        <v>99</v>
      </c>
      <c r="I38" s="37" t="s">
        <v>62</v>
      </c>
      <c r="J38" s="37" t="s">
        <v>467</v>
      </c>
      <c r="K38" s="37">
        <v>130</v>
      </c>
      <c r="L38" s="37" t="str">
        <f>"126,5797"</f>
        <v>126,5797</v>
      </c>
      <c r="M38" s="37" t="s">
        <v>277</v>
      </c>
    </row>
    <row r="40" spans="5:6" ht="15">
      <c r="E40" s="39" t="s">
        <v>279</v>
      </c>
      <c r="F40" s="41" t="s">
        <v>1935</v>
      </c>
    </row>
    <row r="41" spans="5:6" ht="15">
      <c r="E41" s="39" t="s">
        <v>1940</v>
      </c>
      <c r="F41" s="41" t="s">
        <v>1941</v>
      </c>
    </row>
    <row r="42" spans="5:6" ht="15">
      <c r="E42" s="39" t="s">
        <v>280</v>
      </c>
      <c r="F42" s="41" t="s">
        <v>1936</v>
      </c>
    </row>
    <row r="43" spans="5:6" ht="15">
      <c r="E43" s="39" t="s">
        <v>281</v>
      </c>
      <c r="F43" s="41" t="s">
        <v>1939</v>
      </c>
    </row>
    <row r="44" spans="5:6" ht="15">
      <c r="E44" s="39" t="s">
        <v>282</v>
      </c>
      <c r="F44" s="41" t="s">
        <v>1943</v>
      </c>
    </row>
    <row r="45" spans="5:6" ht="15">
      <c r="E45" s="39" t="s">
        <v>282</v>
      </c>
      <c r="F45" s="41" t="s">
        <v>1944</v>
      </c>
    </row>
    <row r="46" spans="5:6" ht="15">
      <c r="E46" s="39" t="s">
        <v>283</v>
      </c>
      <c r="F46" s="41" t="s">
        <v>1942</v>
      </c>
    </row>
    <row r="47" spans="5:6" ht="15">
      <c r="E47" s="39" t="s">
        <v>1937</v>
      </c>
      <c r="F47" s="41" t="s">
        <v>1938</v>
      </c>
    </row>
    <row r="49" spans="1:2" ht="18">
      <c r="A49" s="40" t="s">
        <v>284</v>
      </c>
      <c r="B49" s="40"/>
    </row>
    <row r="50" spans="1:2" ht="15">
      <c r="A50" s="42" t="s">
        <v>285</v>
      </c>
      <c r="B50" s="42"/>
    </row>
    <row r="51" spans="1:2" ht="14.25">
      <c r="A51" s="44"/>
      <c r="B51" s="45" t="s">
        <v>286</v>
      </c>
    </row>
    <row r="52" spans="1:5" ht="15">
      <c r="A52" s="46" t="s">
        <v>287</v>
      </c>
      <c r="B52" s="46" t="s">
        <v>288</v>
      </c>
      <c r="C52" s="46" t="s">
        <v>289</v>
      </c>
      <c r="D52" s="46" t="s">
        <v>290</v>
      </c>
      <c r="E52" s="46" t="s">
        <v>291</v>
      </c>
    </row>
    <row r="53" spans="1:5" ht="12.75">
      <c r="A53" s="43" t="s">
        <v>1902</v>
      </c>
      <c r="B53" s="30" t="s">
        <v>479</v>
      </c>
      <c r="C53" s="30" t="s">
        <v>306</v>
      </c>
      <c r="D53" s="30" t="s">
        <v>70</v>
      </c>
      <c r="E53" s="47" t="s">
        <v>1916</v>
      </c>
    </row>
    <row r="55" spans="1:2" ht="14.25">
      <c r="A55" s="44"/>
      <c r="B55" s="45" t="s">
        <v>301</v>
      </c>
    </row>
    <row r="56" spans="1:5" ht="15">
      <c r="A56" s="46" t="s">
        <v>287</v>
      </c>
      <c r="B56" s="46" t="s">
        <v>288</v>
      </c>
      <c r="C56" s="46" t="s">
        <v>289</v>
      </c>
      <c r="D56" s="46" t="s">
        <v>290</v>
      </c>
      <c r="E56" s="46" t="s">
        <v>291</v>
      </c>
    </row>
    <row r="57" spans="1:5" ht="12.75">
      <c r="A57" s="43" t="s">
        <v>51</v>
      </c>
      <c r="B57" s="30" t="s">
        <v>301</v>
      </c>
      <c r="C57" s="30" t="s">
        <v>302</v>
      </c>
      <c r="D57" s="30" t="s">
        <v>30</v>
      </c>
      <c r="E57" s="47" t="s">
        <v>1917</v>
      </c>
    </row>
    <row r="58" spans="1:5" ht="12.75">
      <c r="A58" s="43" t="s">
        <v>34</v>
      </c>
      <c r="B58" s="30" t="s">
        <v>301</v>
      </c>
      <c r="C58" s="30" t="s">
        <v>293</v>
      </c>
      <c r="D58" s="30" t="s">
        <v>28</v>
      </c>
      <c r="E58" s="47" t="s">
        <v>1918</v>
      </c>
    </row>
    <row r="59" spans="1:5" ht="12.75">
      <c r="A59" s="43" t="s">
        <v>1897</v>
      </c>
      <c r="B59" s="30" t="s">
        <v>301</v>
      </c>
      <c r="C59" s="30" t="s">
        <v>299</v>
      </c>
      <c r="D59" s="30" t="s">
        <v>421</v>
      </c>
      <c r="E59" s="47" t="s">
        <v>1919</v>
      </c>
    </row>
    <row r="60" spans="1:5" ht="12.75">
      <c r="A60" s="43" t="s">
        <v>1905</v>
      </c>
      <c r="B60" s="30" t="s">
        <v>301</v>
      </c>
      <c r="C60" s="30" t="s">
        <v>306</v>
      </c>
      <c r="D60" s="30" t="s">
        <v>70</v>
      </c>
      <c r="E60" s="47" t="s">
        <v>1920</v>
      </c>
    </row>
    <row r="63" spans="1:2" ht="15">
      <c r="A63" s="42" t="s">
        <v>312</v>
      </c>
      <c r="B63" s="42"/>
    </row>
    <row r="64" spans="1:2" ht="14.25">
      <c r="A64" s="44"/>
      <c r="B64" s="45" t="s">
        <v>286</v>
      </c>
    </row>
    <row r="65" spans="1:5" ht="15">
      <c r="A65" s="46" t="s">
        <v>287</v>
      </c>
      <c r="B65" s="46" t="s">
        <v>288</v>
      </c>
      <c r="C65" s="46" t="s">
        <v>289</v>
      </c>
      <c r="D65" s="46" t="s">
        <v>290</v>
      </c>
      <c r="E65" s="46" t="s">
        <v>291</v>
      </c>
    </row>
    <row r="66" spans="1:5" ht="12.75">
      <c r="A66" s="43" t="s">
        <v>1913</v>
      </c>
      <c r="B66" s="30" t="s">
        <v>481</v>
      </c>
      <c r="C66" s="30" t="s">
        <v>315</v>
      </c>
      <c r="D66" s="30" t="s">
        <v>30</v>
      </c>
      <c r="E66" s="47" t="s">
        <v>1921</v>
      </c>
    </row>
    <row r="68" spans="1:2" ht="14.25">
      <c r="A68" s="44"/>
      <c r="B68" s="45" t="s">
        <v>301</v>
      </c>
    </row>
    <row r="69" spans="1:5" ht="15">
      <c r="A69" s="46" t="s">
        <v>287</v>
      </c>
      <c r="B69" s="46" t="s">
        <v>288</v>
      </c>
      <c r="C69" s="46" t="s">
        <v>289</v>
      </c>
      <c r="D69" s="46" t="s">
        <v>290</v>
      </c>
      <c r="E69" s="46" t="s">
        <v>291</v>
      </c>
    </row>
    <row r="70" spans="1:5" ht="12.75">
      <c r="A70" s="43" t="s">
        <v>1142</v>
      </c>
      <c r="B70" s="30" t="s">
        <v>301</v>
      </c>
      <c r="C70" s="30" t="s">
        <v>323</v>
      </c>
      <c r="D70" s="30" t="s">
        <v>163</v>
      </c>
      <c r="E70" s="47" t="s">
        <v>1922</v>
      </c>
    </row>
    <row r="71" spans="1:5" ht="12.75">
      <c r="A71" s="43" t="s">
        <v>1145</v>
      </c>
      <c r="B71" s="30" t="s">
        <v>301</v>
      </c>
      <c r="C71" s="30" t="s">
        <v>323</v>
      </c>
      <c r="D71" s="30" t="s">
        <v>125</v>
      </c>
      <c r="E71" s="47" t="s">
        <v>1923</v>
      </c>
    </row>
    <row r="72" spans="1:5" ht="12.75">
      <c r="A72" s="43" t="s">
        <v>1909</v>
      </c>
      <c r="B72" s="30" t="s">
        <v>301</v>
      </c>
      <c r="C72" s="30" t="s">
        <v>323</v>
      </c>
      <c r="D72" s="30" t="s">
        <v>218</v>
      </c>
      <c r="E72" s="47" t="s">
        <v>1924</v>
      </c>
    </row>
    <row r="73" spans="1:5" ht="12.75">
      <c r="A73" s="43" t="s">
        <v>1152</v>
      </c>
      <c r="B73" s="30" t="s">
        <v>301</v>
      </c>
      <c r="C73" s="30" t="s">
        <v>323</v>
      </c>
      <c r="D73" s="30" t="s">
        <v>252</v>
      </c>
      <c r="E73" s="47" t="s">
        <v>1925</v>
      </c>
    </row>
    <row r="74" spans="1:5" ht="12.75">
      <c r="A74" s="43" t="s">
        <v>269</v>
      </c>
      <c r="B74" s="30" t="s">
        <v>301</v>
      </c>
      <c r="C74" s="30" t="s">
        <v>338</v>
      </c>
      <c r="D74" s="30" t="s">
        <v>62</v>
      </c>
      <c r="E74" s="47" t="s">
        <v>1926</v>
      </c>
    </row>
    <row r="76" spans="1:2" ht="14.25">
      <c r="A76" s="44"/>
      <c r="B76" s="45" t="s">
        <v>340</v>
      </c>
    </row>
    <row r="77" spans="1:5" ht="15">
      <c r="A77" s="46" t="s">
        <v>287</v>
      </c>
      <c r="B77" s="46" t="s">
        <v>288</v>
      </c>
      <c r="C77" s="46" t="s">
        <v>289</v>
      </c>
      <c r="D77" s="46" t="s">
        <v>290</v>
      </c>
      <c r="E77" s="46" t="s">
        <v>291</v>
      </c>
    </row>
    <row r="78" spans="1:5" ht="12.75">
      <c r="A78" s="43" t="s">
        <v>269</v>
      </c>
      <c r="B78" s="30" t="s">
        <v>343</v>
      </c>
      <c r="C78" s="30" t="s">
        <v>338</v>
      </c>
      <c r="D78" s="30" t="s">
        <v>62</v>
      </c>
      <c r="E78" s="47" t="s">
        <v>1927</v>
      </c>
    </row>
    <row r="79" spans="1:5" ht="12.75">
      <c r="A79" s="43" t="s">
        <v>247</v>
      </c>
      <c r="B79" s="30" t="s">
        <v>350</v>
      </c>
      <c r="C79" s="30" t="s">
        <v>320</v>
      </c>
      <c r="D79" s="30" t="s">
        <v>252</v>
      </c>
      <c r="E79" s="47" t="s">
        <v>1928</v>
      </c>
    </row>
    <row r="84" spans="1:2" ht="18">
      <c r="A84" s="40" t="s">
        <v>352</v>
      </c>
      <c r="B84" s="40"/>
    </row>
    <row r="85" spans="1:3" ht="15">
      <c r="A85" s="46" t="s">
        <v>353</v>
      </c>
      <c r="B85" s="46" t="s">
        <v>354</v>
      </c>
      <c r="C85" s="46" t="s">
        <v>355</v>
      </c>
    </row>
    <row r="86" spans="1:3" ht="12.75">
      <c r="A86" s="30" t="s">
        <v>26</v>
      </c>
      <c r="B86" s="30" t="s">
        <v>1332</v>
      </c>
      <c r="C86" s="30" t="s">
        <v>1929</v>
      </c>
    </row>
    <row r="87" spans="1:3" ht="12.75">
      <c r="A87" s="30" t="s">
        <v>68</v>
      </c>
      <c r="B87" s="30" t="s">
        <v>358</v>
      </c>
      <c r="C87" s="30" t="s">
        <v>1930</v>
      </c>
    </row>
    <row r="88" spans="1:3" ht="12.75">
      <c r="A88" s="30" t="s">
        <v>37</v>
      </c>
      <c r="B88" s="30" t="s">
        <v>360</v>
      </c>
      <c r="C88" s="30" t="s">
        <v>1931</v>
      </c>
    </row>
    <row r="89" spans="1:3" ht="12.75">
      <c r="A89" s="30" t="s">
        <v>250</v>
      </c>
      <c r="B89" s="30" t="s">
        <v>369</v>
      </c>
      <c r="C89" s="30" t="s">
        <v>373</v>
      </c>
    </row>
    <row r="90" spans="1:3" ht="12.75">
      <c r="A90" s="30" t="s">
        <v>1060</v>
      </c>
      <c r="B90" s="30" t="s">
        <v>381</v>
      </c>
      <c r="C90" s="30" t="s">
        <v>1932</v>
      </c>
    </row>
    <row r="91" spans="1:3" ht="12.75">
      <c r="A91" s="30" t="s">
        <v>866</v>
      </c>
      <c r="B91" s="30" t="s">
        <v>383</v>
      </c>
      <c r="C91" s="30" t="s">
        <v>1933</v>
      </c>
    </row>
    <row r="92" spans="1:3" ht="12.75">
      <c r="A92" s="30" t="s">
        <v>77</v>
      </c>
      <c r="B92" s="30" t="s">
        <v>1299</v>
      </c>
      <c r="C92" s="30" t="s">
        <v>1300</v>
      </c>
    </row>
  </sheetData>
  <sheetProtection/>
  <mergeCells count="21">
    <mergeCell ref="A33:L33"/>
    <mergeCell ref="M3:M4"/>
    <mergeCell ref="A5:L5"/>
    <mergeCell ref="A8:L8"/>
    <mergeCell ref="A11:L11"/>
    <mergeCell ref="A36:L36"/>
    <mergeCell ref="A14:L14"/>
    <mergeCell ref="A18:L18"/>
    <mergeCell ref="A21:L21"/>
    <mergeCell ref="A24:L24"/>
    <mergeCell ref="A30:L30"/>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76"/>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2.00390625" style="30" customWidth="1"/>
    <col min="4" max="4" width="10.625" style="30" bestFit="1" customWidth="1"/>
    <col min="5" max="5" width="22.75390625" style="30" bestFit="1" customWidth="1"/>
    <col min="6" max="6" width="42.875" style="30" bestFit="1" customWidth="1"/>
    <col min="7" max="9" width="5.625" style="30" bestFit="1" customWidth="1"/>
    <col min="10" max="10" width="4.625" style="30" bestFit="1" customWidth="1"/>
    <col min="11" max="11" width="7.875" style="30" bestFit="1" customWidth="1"/>
    <col min="12" max="12" width="8.625" style="30" bestFit="1" customWidth="1"/>
    <col min="13" max="13" width="12.75390625" style="30" bestFit="1" customWidth="1"/>
  </cols>
  <sheetData>
    <row r="1" spans="1:13" s="1" customFormat="1" ht="15" customHeight="1">
      <c r="A1" s="48" t="s">
        <v>996</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3</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93</v>
      </c>
      <c r="B5" s="61"/>
      <c r="C5" s="61"/>
      <c r="D5" s="61"/>
      <c r="E5" s="61"/>
      <c r="F5" s="61"/>
      <c r="G5" s="61"/>
      <c r="H5" s="61"/>
      <c r="I5" s="61"/>
      <c r="J5" s="61"/>
      <c r="K5" s="61"/>
      <c r="L5" s="61"/>
    </row>
    <row r="6" spans="1:13" ht="12.75">
      <c r="A6" s="31" t="s">
        <v>997</v>
      </c>
      <c r="B6" s="31" t="s">
        <v>998</v>
      </c>
      <c r="C6" s="31" t="s">
        <v>999</v>
      </c>
      <c r="D6" s="31" t="str">
        <f>"0,8068"</f>
        <v>0,8068</v>
      </c>
      <c r="E6" s="31" t="s">
        <v>799</v>
      </c>
      <c r="F6" s="31" t="s">
        <v>27</v>
      </c>
      <c r="G6" s="32" t="s">
        <v>395</v>
      </c>
      <c r="H6" s="31" t="s">
        <v>69</v>
      </c>
      <c r="I6" s="31" t="s">
        <v>20</v>
      </c>
      <c r="J6" s="32"/>
      <c r="K6" s="31">
        <v>85</v>
      </c>
      <c r="L6" s="31" t="str">
        <f>"78,4532"</f>
        <v>78,4532</v>
      </c>
      <c r="M6" s="31" t="s">
        <v>173</v>
      </c>
    </row>
    <row r="8" spans="1:12" ht="15">
      <c r="A8" s="62" t="s">
        <v>108</v>
      </c>
      <c r="B8" s="62"/>
      <c r="C8" s="62"/>
      <c r="D8" s="62"/>
      <c r="E8" s="62"/>
      <c r="F8" s="62"/>
      <c r="G8" s="62"/>
      <c r="H8" s="62"/>
      <c r="I8" s="62"/>
      <c r="J8" s="62"/>
      <c r="K8" s="62"/>
      <c r="L8" s="62"/>
    </row>
    <row r="9" spans="1:13" ht="12.75">
      <c r="A9" s="31" t="s">
        <v>1000</v>
      </c>
      <c r="B9" s="31" t="s">
        <v>1001</v>
      </c>
      <c r="C9" s="31" t="s">
        <v>129</v>
      </c>
      <c r="D9" s="31" t="str">
        <f>"0,6687"</f>
        <v>0,6687</v>
      </c>
      <c r="E9" s="31" t="s">
        <v>172</v>
      </c>
      <c r="F9" s="31" t="s">
        <v>27</v>
      </c>
      <c r="G9" s="31" t="s">
        <v>150</v>
      </c>
      <c r="H9" s="31" t="s">
        <v>146</v>
      </c>
      <c r="I9" s="31" t="s">
        <v>124</v>
      </c>
      <c r="J9" s="32"/>
      <c r="K9" s="31">
        <v>190</v>
      </c>
      <c r="L9" s="31" t="str">
        <f>"141,9182"</f>
        <v>141,9182</v>
      </c>
      <c r="M9" s="31" t="s">
        <v>173</v>
      </c>
    </row>
    <row r="11" spans="1:12" ht="15">
      <c r="A11" s="62" t="s">
        <v>152</v>
      </c>
      <c r="B11" s="62"/>
      <c r="C11" s="62"/>
      <c r="D11" s="62"/>
      <c r="E11" s="62"/>
      <c r="F11" s="62"/>
      <c r="G11" s="62"/>
      <c r="H11" s="62"/>
      <c r="I11" s="62"/>
      <c r="J11" s="62"/>
      <c r="K11" s="62"/>
      <c r="L11" s="62"/>
    </row>
    <row r="12" spans="1:13" ht="12.75">
      <c r="A12" s="31" t="s">
        <v>1002</v>
      </c>
      <c r="B12" s="31" t="s">
        <v>1003</v>
      </c>
      <c r="C12" s="31" t="s">
        <v>1004</v>
      </c>
      <c r="D12" s="31" t="str">
        <f>"0,6409"</f>
        <v>0,6409</v>
      </c>
      <c r="E12" s="31" t="s">
        <v>904</v>
      </c>
      <c r="F12" s="31" t="s">
        <v>1005</v>
      </c>
      <c r="G12" s="31" t="s">
        <v>244</v>
      </c>
      <c r="H12" s="31" t="s">
        <v>1006</v>
      </c>
      <c r="I12" s="32" t="s">
        <v>245</v>
      </c>
      <c r="J12" s="32"/>
      <c r="K12" s="31">
        <v>252.5</v>
      </c>
      <c r="L12" s="31" t="str">
        <f>"161,8146"</f>
        <v>161,8146</v>
      </c>
      <c r="M12" s="31" t="s">
        <v>173</v>
      </c>
    </row>
    <row r="14" spans="1:12" ht="15">
      <c r="A14" s="62" t="s">
        <v>178</v>
      </c>
      <c r="B14" s="62"/>
      <c r="C14" s="62"/>
      <c r="D14" s="62"/>
      <c r="E14" s="62"/>
      <c r="F14" s="62"/>
      <c r="G14" s="62"/>
      <c r="H14" s="62"/>
      <c r="I14" s="62"/>
      <c r="J14" s="62"/>
      <c r="K14" s="62"/>
      <c r="L14" s="62"/>
    </row>
    <row r="15" spans="1:13" ht="12.75">
      <c r="A15" s="33" t="s">
        <v>677</v>
      </c>
      <c r="B15" s="33" t="s">
        <v>678</v>
      </c>
      <c r="C15" s="33" t="s">
        <v>679</v>
      </c>
      <c r="D15" s="33" t="str">
        <f>"0,5877"</f>
        <v>0,5877</v>
      </c>
      <c r="E15" s="33" t="s">
        <v>680</v>
      </c>
      <c r="F15" s="33" t="s">
        <v>681</v>
      </c>
      <c r="G15" s="33" t="s">
        <v>185</v>
      </c>
      <c r="H15" s="34" t="s">
        <v>660</v>
      </c>
      <c r="I15" s="34" t="s">
        <v>660</v>
      </c>
      <c r="J15" s="34"/>
      <c r="K15" s="33">
        <v>265</v>
      </c>
      <c r="L15" s="33" t="str">
        <f>"155,7405"</f>
        <v>155,7405</v>
      </c>
      <c r="M15" s="33" t="s">
        <v>683</v>
      </c>
    </row>
    <row r="16" spans="1:13" ht="12.75">
      <c r="A16" s="37" t="s">
        <v>684</v>
      </c>
      <c r="B16" s="37" t="s">
        <v>685</v>
      </c>
      <c r="C16" s="37" t="s">
        <v>686</v>
      </c>
      <c r="D16" s="37" t="str">
        <f>"0,5986"</f>
        <v>0,5986</v>
      </c>
      <c r="E16" s="37" t="s">
        <v>182</v>
      </c>
      <c r="F16" s="37" t="s">
        <v>183</v>
      </c>
      <c r="G16" s="38" t="s">
        <v>192</v>
      </c>
      <c r="H16" s="38"/>
      <c r="I16" s="38"/>
      <c r="J16" s="38"/>
      <c r="K16" s="37">
        <v>0</v>
      </c>
      <c r="L16" s="37" t="str">
        <f>"0,0000"</f>
        <v>0,0000</v>
      </c>
      <c r="M16" s="37" t="s">
        <v>173</v>
      </c>
    </row>
    <row r="18" spans="1:12" ht="15">
      <c r="A18" s="62" t="s">
        <v>206</v>
      </c>
      <c r="B18" s="62"/>
      <c r="C18" s="62"/>
      <c r="D18" s="62"/>
      <c r="E18" s="62"/>
      <c r="F18" s="62"/>
      <c r="G18" s="62"/>
      <c r="H18" s="62"/>
      <c r="I18" s="62"/>
      <c r="J18" s="62"/>
      <c r="K18" s="62"/>
      <c r="L18" s="62"/>
    </row>
    <row r="19" spans="1:13" ht="12.75">
      <c r="A19" s="31" t="s">
        <v>880</v>
      </c>
      <c r="B19" s="31" t="s">
        <v>881</v>
      </c>
      <c r="C19" s="31" t="s">
        <v>882</v>
      </c>
      <c r="D19" s="31" t="str">
        <f>"0,5639"</f>
        <v>0,5639</v>
      </c>
      <c r="E19" s="31" t="s">
        <v>883</v>
      </c>
      <c r="F19" s="31" t="s">
        <v>884</v>
      </c>
      <c r="G19" s="32" t="s">
        <v>1007</v>
      </c>
      <c r="H19" s="31" t="s">
        <v>1007</v>
      </c>
      <c r="I19" s="31" t="s">
        <v>676</v>
      </c>
      <c r="J19" s="32"/>
      <c r="K19" s="31">
        <v>250</v>
      </c>
      <c r="L19" s="31" t="str">
        <f>"140,9750"</f>
        <v>140,9750</v>
      </c>
      <c r="M19" s="31" t="s">
        <v>885</v>
      </c>
    </row>
    <row r="21" spans="1:12" ht="15">
      <c r="A21" s="62" t="s">
        <v>235</v>
      </c>
      <c r="B21" s="62"/>
      <c r="C21" s="62"/>
      <c r="D21" s="62"/>
      <c r="E21" s="62"/>
      <c r="F21" s="62"/>
      <c r="G21" s="62"/>
      <c r="H21" s="62"/>
      <c r="I21" s="62"/>
      <c r="J21" s="62"/>
      <c r="K21" s="62"/>
      <c r="L21" s="62"/>
    </row>
    <row r="22" spans="1:13" ht="12.75">
      <c r="A22" s="33" t="s">
        <v>475</v>
      </c>
      <c r="B22" s="33" t="s">
        <v>1008</v>
      </c>
      <c r="C22" s="33" t="s">
        <v>477</v>
      </c>
      <c r="D22" s="33" t="str">
        <f>"0,5417"</f>
        <v>0,5417</v>
      </c>
      <c r="E22" s="33" t="s">
        <v>708</v>
      </c>
      <c r="F22" s="33" t="s">
        <v>478</v>
      </c>
      <c r="G22" s="33" t="s">
        <v>433</v>
      </c>
      <c r="H22" s="33" t="s">
        <v>146</v>
      </c>
      <c r="I22" s="33" t="s">
        <v>219</v>
      </c>
      <c r="J22" s="34"/>
      <c r="K22" s="33">
        <v>207.5</v>
      </c>
      <c r="L22" s="33" t="str">
        <f>"112,4028"</f>
        <v>112,4028</v>
      </c>
      <c r="M22" s="33" t="s">
        <v>173</v>
      </c>
    </row>
    <row r="23" spans="1:13" ht="12.75">
      <c r="A23" s="35" t="s">
        <v>658</v>
      </c>
      <c r="B23" s="35" t="s">
        <v>659</v>
      </c>
      <c r="C23" s="35" t="s">
        <v>256</v>
      </c>
      <c r="D23" s="35" t="str">
        <f>"0,5365"</f>
        <v>0,5365</v>
      </c>
      <c r="E23" s="35" t="s">
        <v>26</v>
      </c>
      <c r="F23" s="35" t="s">
        <v>27</v>
      </c>
      <c r="G23" s="35" t="s">
        <v>660</v>
      </c>
      <c r="H23" s="35" t="s">
        <v>661</v>
      </c>
      <c r="I23" s="36" t="s">
        <v>484</v>
      </c>
      <c r="J23" s="36"/>
      <c r="K23" s="35">
        <v>302.5</v>
      </c>
      <c r="L23" s="35" t="str">
        <f>"170,0812"</f>
        <v>170,0812</v>
      </c>
      <c r="M23" s="35" t="s">
        <v>662</v>
      </c>
    </row>
    <row r="24" spans="1:13" ht="12.75">
      <c r="A24" s="35" t="s">
        <v>475</v>
      </c>
      <c r="B24" s="35" t="s">
        <v>476</v>
      </c>
      <c r="C24" s="35" t="s">
        <v>477</v>
      </c>
      <c r="D24" s="35" t="str">
        <f>"0,5417"</f>
        <v>0,5417</v>
      </c>
      <c r="E24" s="35" t="s">
        <v>708</v>
      </c>
      <c r="F24" s="35" t="s">
        <v>478</v>
      </c>
      <c r="G24" s="35" t="s">
        <v>433</v>
      </c>
      <c r="H24" s="35" t="s">
        <v>146</v>
      </c>
      <c r="I24" s="35" t="s">
        <v>219</v>
      </c>
      <c r="J24" s="36"/>
      <c r="K24" s="35">
        <v>207.5</v>
      </c>
      <c r="L24" s="35" t="str">
        <f>"155,1158"</f>
        <v>155,1158</v>
      </c>
      <c r="M24" s="35" t="s">
        <v>173</v>
      </c>
    </row>
    <row r="25" spans="1:13" ht="12.75">
      <c r="A25" s="37" t="s">
        <v>727</v>
      </c>
      <c r="B25" s="37" t="s">
        <v>728</v>
      </c>
      <c r="C25" s="37" t="s">
        <v>729</v>
      </c>
      <c r="D25" s="37" t="str">
        <f>"0,5399"</f>
        <v>0,5399</v>
      </c>
      <c r="E25" s="37" t="s">
        <v>1009</v>
      </c>
      <c r="F25" s="37" t="s">
        <v>273</v>
      </c>
      <c r="G25" s="37" t="s">
        <v>124</v>
      </c>
      <c r="H25" s="37" t="s">
        <v>218</v>
      </c>
      <c r="I25" s="37" t="s">
        <v>125</v>
      </c>
      <c r="J25" s="38"/>
      <c r="K25" s="37">
        <v>205</v>
      </c>
      <c r="L25" s="37" t="str">
        <f>"188,1552"</f>
        <v>188,1552</v>
      </c>
      <c r="M25" s="37" t="s">
        <v>277</v>
      </c>
    </row>
    <row r="27" spans="1:12" ht="15">
      <c r="A27" s="62" t="s">
        <v>262</v>
      </c>
      <c r="B27" s="62"/>
      <c r="C27" s="62"/>
      <c r="D27" s="62"/>
      <c r="E27" s="62"/>
      <c r="F27" s="62"/>
      <c r="G27" s="62"/>
      <c r="H27" s="62"/>
      <c r="I27" s="62"/>
      <c r="J27" s="62"/>
      <c r="K27" s="62"/>
      <c r="L27" s="62"/>
    </row>
    <row r="28" spans="1:13" ht="12.75">
      <c r="A28" s="33" t="s">
        <v>1010</v>
      </c>
      <c r="B28" s="33" t="s">
        <v>1011</v>
      </c>
      <c r="C28" s="33" t="s">
        <v>1012</v>
      </c>
      <c r="D28" s="33" t="str">
        <f>"0,5294"</f>
        <v>0,5294</v>
      </c>
      <c r="E28" s="33" t="s">
        <v>105</v>
      </c>
      <c r="F28" s="33" t="s">
        <v>106</v>
      </c>
      <c r="G28" s="33" t="s">
        <v>660</v>
      </c>
      <c r="H28" s="33" t="s">
        <v>495</v>
      </c>
      <c r="I28" s="34" t="s">
        <v>735</v>
      </c>
      <c r="J28" s="34"/>
      <c r="K28" s="33">
        <v>290</v>
      </c>
      <c r="L28" s="33" t="str">
        <f>"153,5260"</f>
        <v>153,5260</v>
      </c>
      <c r="M28" s="33" t="s">
        <v>173</v>
      </c>
    </row>
    <row r="29" spans="1:13" ht="12.75">
      <c r="A29" s="37" t="s">
        <v>1010</v>
      </c>
      <c r="B29" s="37" t="s">
        <v>1013</v>
      </c>
      <c r="C29" s="37" t="s">
        <v>1012</v>
      </c>
      <c r="D29" s="37" t="str">
        <f>"0,5294"</f>
        <v>0,5294</v>
      </c>
      <c r="E29" s="37" t="s">
        <v>105</v>
      </c>
      <c r="F29" s="37" t="s">
        <v>106</v>
      </c>
      <c r="G29" s="37" t="s">
        <v>660</v>
      </c>
      <c r="H29" s="37" t="s">
        <v>495</v>
      </c>
      <c r="I29" s="38" t="s">
        <v>735</v>
      </c>
      <c r="J29" s="38"/>
      <c r="K29" s="37">
        <v>290</v>
      </c>
      <c r="L29" s="37" t="str">
        <f>"153,9866"</f>
        <v>153,9866</v>
      </c>
      <c r="M29" s="37" t="s">
        <v>173</v>
      </c>
    </row>
    <row r="31" spans="5:6" ht="15">
      <c r="E31" s="39" t="s">
        <v>279</v>
      </c>
      <c r="F31" s="41" t="s">
        <v>1935</v>
      </c>
    </row>
    <row r="32" spans="5:6" ht="15">
      <c r="E32" s="39" t="s">
        <v>1940</v>
      </c>
      <c r="F32" s="41" t="s">
        <v>1941</v>
      </c>
    </row>
    <row r="33" spans="5:6" ht="15">
      <c r="E33" s="39" t="s">
        <v>280</v>
      </c>
      <c r="F33" s="41" t="s">
        <v>1936</v>
      </c>
    </row>
    <row r="34" spans="5:6" ht="15">
      <c r="E34" s="39" t="s">
        <v>281</v>
      </c>
      <c r="F34" s="41" t="s">
        <v>1939</v>
      </c>
    </row>
    <row r="35" spans="5:6" ht="15">
      <c r="E35" s="39" t="s">
        <v>282</v>
      </c>
      <c r="F35" s="41" t="s">
        <v>1943</v>
      </c>
    </row>
    <row r="36" spans="5:6" ht="15">
      <c r="E36" s="39" t="s">
        <v>282</v>
      </c>
      <c r="F36" s="41" t="s">
        <v>1944</v>
      </c>
    </row>
    <row r="37" spans="5:6" ht="15">
      <c r="E37" s="39" t="s">
        <v>283</v>
      </c>
      <c r="F37" s="41" t="s">
        <v>1942</v>
      </c>
    </row>
    <row r="38" spans="5:6" ht="15">
      <c r="E38" s="39" t="s">
        <v>1937</v>
      </c>
      <c r="F38" s="41" t="s">
        <v>1938</v>
      </c>
    </row>
    <row r="39" spans="1:2" ht="18">
      <c r="A39" s="40" t="s">
        <v>284</v>
      </c>
      <c r="B39" s="40"/>
    </row>
    <row r="40" spans="1:2" ht="15">
      <c r="A40" s="42" t="s">
        <v>285</v>
      </c>
      <c r="B40" s="42"/>
    </row>
    <row r="41" spans="1:2" ht="14.25">
      <c r="A41" s="44"/>
      <c r="B41" s="45" t="s">
        <v>340</v>
      </c>
    </row>
    <row r="42" spans="1:5" ht="15">
      <c r="A42" s="46" t="s">
        <v>287</v>
      </c>
      <c r="B42" s="46" t="s">
        <v>288</v>
      </c>
      <c r="C42" s="46" t="s">
        <v>289</v>
      </c>
      <c r="D42" s="46" t="s">
        <v>290</v>
      </c>
      <c r="E42" s="46" t="s">
        <v>291</v>
      </c>
    </row>
    <row r="43" spans="1:5" ht="12.75">
      <c r="A43" s="43" t="s">
        <v>997</v>
      </c>
      <c r="B43" s="30" t="s">
        <v>350</v>
      </c>
      <c r="C43" s="30" t="s">
        <v>309</v>
      </c>
      <c r="D43" s="30" t="s">
        <v>20</v>
      </c>
      <c r="E43" s="47" t="s">
        <v>1014</v>
      </c>
    </row>
    <row r="46" spans="1:2" ht="15">
      <c r="A46" s="42" t="s">
        <v>312</v>
      </c>
      <c r="B46" s="42"/>
    </row>
    <row r="47" spans="1:2" ht="14.25">
      <c r="A47" s="44"/>
      <c r="B47" s="45" t="s">
        <v>301</v>
      </c>
    </row>
    <row r="48" spans="1:5" ht="15">
      <c r="A48" s="46" t="s">
        <v>287</v>
      </c>
      <c r="B48" s="46" t="s">
        <v>288</v>
      </c>
      <c r="C48" s="46" t="s">
        <v>289</v>
      </c>
      <c r="D48" s="46" t="s">
        <v>290</v>
      </c>
      <c r="E48" s="46" t="s">
        <v>291</v>
      </c>
    </row>
    <row r="49" spans="1:5" ht="12.75">
      <c r="A49" s="43" t="s">
        <v>1002</v>
      </c>
      <c r="B49" s="30" t="s">
        <v>301</v>
      </c>
      <c r="C49" s="30" t="s">
        <v>318</v>
      </c>
      <c r="D49" s="30" t="s">
        <v>1006</v>
      </c>
      <c r="E49" s="47" t="s">
        <v>1015</v>
      </c>
    </row>
    <row r="50" spans="1:5" ht="12.75">
      <c r="A50" s="43" t="s">
        <v>677</v>
      </c>
      <c r="B50" s="30" t="s">
        <v>301</v>
      </c>
      <c r="C50" s="30" t="s">
        <v>323</v>
      </c>
      <c r="D50" s="30" t="s">
        <v>185</v>
      </c>
      <c r="E50" s="47" t="s">
        <v>1016</v>
      </c>
    </row>
    <row r="51" spans="1:5" ht="12.75">
      <c r="A51" s="43" t="s">
        <v>1010</v>
      </c>
      <c r="B51" s="30" t="s">
        <v>301</v>
      </c>
      <c r="C51" s="30" t="s">
        <v>330</v>
      </c>
      <c r="D51" s="30" t="s">
        <v>495</v>
      </c>
      <c r="E51" s="47" t="s">
        <v>1017</v>
      </c>
    </row>
    <row r="52" spans="1:5" ht="12.75">
      <c r="A52" s="43" t="s">
        <v>880</v>
      </c>
      <c r="B52" s="30" t="s">
        <v>301</v>
      </c>
      <c r="C52" s="30" t="s">
        <v>315</v>
      </c>
      <c r="D52" s="30" t="s">
        <v>676</v>
      </c>
      <c r="E52" s="47" t="s">
        <v>1018</v>
      </c>
    </row>
    <row r="53" spans="1:5" ht="12.75">
      <c r="A53" s="43" t="s">
        <v>475</v>
      </c>
      <c r="B53" s="30" t="s">
        <v>301</v>
      </c>
      <c r="C53" s="30" t="s">
        <v>320</v>
      </c>
      <c r="D53" s="30" t="s">
        <v>219</v>
      </c>
      <c r="E53" s="47" t="s">
        <v>1019</v>
      </c>
    </row>
    <row r="55" spans="1:2" ht="14.25">
      <c r="A55" s="44"/>
      <c r="B55" s="45" t="s">
        <v>340</v>
      </c>
    </row>
    <row r="56" spans="1:5" ht="15">
      <c r="A56" s="46" t="s">
        <v>287</v>
      </c>
      <c r="B56" s="46" t="s">
        <v>288</v>
      </c>
      <c r="C56" s="46" t="s">
        <v>289</v>
      </c>
      <c r="D56" s="46" t="s">
        <v>290</v>
      </c>
      <c r="E56" s="46" t="s">
        <v>291</v>
      </c>
    </row>
    <row r="57" spans="1:5" ht="12.75">
      <c r="A57" s="43" t="s">
        <v>727</v>
      </c>
      <c r="B57" s="30" t="s">
        <v>341</v>
      </c>
      <c r="C57" s="30" t="s">
        <v>320</v>
      </c>
      <c r="D57" s="30" t="s">
        <v>125</v>
      </c>
      <c r="E57" s="47" t="s">
        <v>1020</v>
      </c>
    </row>
    <row r="58" spans="1:5" ht="12.75">
      <c r="A58" s="43" t="s">
        <v>658</v>
      </c>
      <c r="B58" s="30" t="s">
        <v>350</v>
      </c>
      <c r="C58" s="30" t="s">
        <v>320</v>
      </c>
      <c r="D58" s="30" t="s">
        <v>661</v>
      </c>
      <c r="E58" s="47" t="s">
        <v>663</v>
      </c>
    </row>
    <row r="59" spans="1:5" ht="12.75">
      <c r="A59" s="43" t="s">
        <v>475</v>
      </c>
      <c r="B59" s="30" t="s">
        <v>651</v>
      </c>
      <c r="C59" s="30" t="s">
        <v>320</v>
      </c>
      <c r="D59" s="30" t="s">
        <v>219</v>
      </c>
      <c r="E59" s="47" t="s">
        <v>664</v>
      </c>
    </row>
    <row r="60" spans="1:5" ht="12.75">
      <c r="A60" s="43" t="s">
        <v>1010</v>
      </c>
      <c r="B60" s="30" t="s">
        <v>348</v>
      </c>
      <c r="C60" s="30" t="s">
        <v>330</v>
      </c>
      <c r="D60" s="30" t="s">
        <v>495</v>
      </c>
      <c r="E60" s="47" t="s">
        <v>1021</v>
      </c>
    </row>
    <row r="61" spans="1:5" ht="12.75">
      <c r="A61" s="43" t="s">
        <v>1000</v>
      </c>
      <c r="B61" s="30" t="s">
        <v>350</v>
      </c>
      <c r="C61" s="30" t="s">
        <v>313</v>
      </c>
      <c r="D61" s="30" t="s">
        <v>124</v>
      </c>
      <c r="E61" s="47" t="s">
        <v>1022</v>
      </c>
    </row>
    <row r="66" spans="1:2" ht="18">
      <c r="A66" s="40" t="s">
        <v>352</v>
      </c>
      <c r="B66" s="40"/>
    </row>
    <row r="67" spans="1:3" ht="15">
      <c r="A67" s="46" t="s">
        <v>353</v>
      </c>
      <c r="B67" s="46" t="s">
        <v>354</v>
      </c>
      <c r="C67" s="46" t="s">
        <v>355</v>
      </c>
    </row>
    <row r="68" spans="1:3" ht="12.75">
      <c r="A68" s="30" t="s">
        <v>708</v>
      </c>
      <c r="B68" s="30" t="s">
        <v>360</v>
      </c>
      <c r="C68" s="30" t="s">
        <v>1023</v>
      </c>
    </row>
    <row r="69" spans="1:3" ht="12.75">
      <c r="A69" s="30" t="s">
        <v>105</v>
      </c>
      <c r="B69" s="30" t="s">
        <v>360</v>
      </c>
      <c r="C69" s="30" t="s">
        <v>1024</v>
      </c>
    </row>
    <row r="70" spans="1:3" ht="12.75">
      <c r="A70" s="30" t="s">
        <v>904</v>
      </c>
      <c r="B70" s="30" t="s">
        <v>369</v>
      </c>
      <c r="C70" s="30" t="s">
        <v>1025</v>
      </c>
    </row>
    <row r="71" spans="1:3" ht="12.75">
      <c r="A71" s="30" t="s">
        <v>883</v>
      </c>
      <c r="B71" s="30" t="s">
        <v>369</v>
      </c>
      <c r="C71" s="30" t="s">
        <v>977</v>
      </c>
    </row>
    <row r="72" spans="1:3" ht="12.75">
      <c r="A72" s="30" t="s">
        <v>172</v>
      </c>
      <c r="B72" s="30" t="s">
        <v>369</v>
      </c>
      <c r="C72" s="30" t="s">
        <v>1026</v>
      </c>
    </row>
    <row r="73" spans="1:3" ht="12.75">
      <c r="A73" s="30" t="s">
        <v>799</v>
      </c>
      <c r="B73" s="30" t="s">
        <v>369</v>
      </c>
      <c r="C73" s="30" t="s">
        <v>1027</v>
      </c>
    </row>
    <row r="74" spans="1:3" ht="12.75">
      <c r="A74" s="30" t="s">
        <v>26</v>
      </c>
      <c r="B74" s="30" t="s">
        <v>369</v>
      </c>
      <c r="C74" s="30" t="s">
        <v>1028</v>
      </c>
    </row>
    <row r="75" spans="1:3" ht="12.75">
      <c r="A75" s="30" t="s">
        <v>1009</v>
      </c>
      <c r="B75" s="30" t="s">
        <v>369</v>
      </c>
      <c r="C75" s="30" t="s">
        <v>784</v>
      </c>
    </row>
    <row r="76" spans="1:3" ht="12.75">
      <c r="A76" s="30" t="s">
        <v>680</v>
      </c>
      <c r="B76" s="30" t="s">
        <v>369</v>
      </c>
      <c r="C76" s="30" t="s">
        <v>785</v>
      </c>
    </row>
  </sheetData>
  <sheetProtection/>
  <mergeCells count="18">
    <mergeCell ref="A14:L14"/>
    <mergeCell ref="A18:L18"/>
    <mergeCell ref="A21:L21"/>
    <mergeCell ref="A27:L27"/>
    <mergeCell ref="K3:K4"/>
    <mergeCell ref="L3:L4"/>
    <mergeCell ref="F3:F4"/>
    <mergeCell ref="G3:J3"/>
    <mergeCell ref="M3:M4"/>
    <mergeCell ref="A5:L5"/>
    <mergeCell ref="A8:L8"/>
    <mergeCell ref="A11:L11"/>
    <mergeCell ref="A1:M2"/>
    <mergeCell ref="A3:A4"/>
    <mergeCell ref="B3:B4"/>
    <mergeCell ref="C3:C4"/>
    <mergeCell ref="D3:D4"/>
    <mergeCell ref="E3:E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4.2539062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9.375" style="30" bestFit="1" customWidth="1"/>
  </cols>
  <sheetData>
    <row r="1" spans="1:13" s="1" customFormat="1" ht="15" customHeight="1">
      <c r="A1" s="48" t="s">
        <v>979</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2</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178</v>
      </c>
      <c r="B5" s="61"/>
      <c r="C5" s="61"/>
      <c r="D5" s="61"/>
      <c r="E5" s="61"/>
      <c r="F5" s="61"/>
      <c r="G5" s="61"/>
      <c r="H5" s="61"/>
      <c r="I5" s="61"/>
      <c r="J5" s="61"/>
      <c r="K5" s="61"/>
      <c r="L5" s="61"/>
    </row>
    <row r="6" spans="1:13" ht="12.75">
      <c r="A6" s="31" t="s">
        <v>980</v>
      </c>
      <c r="B6" s="31" t="s">
        <v>981</v>
      </c>
      <c r="C6" s="31" t="s">
        <v>686</v>
      </c>
      <c r="D6" s="31" t="str">
        <f>"0,5986"</f>
        <v>0,5986</v>
      </c>
      <c r="E6" s="31" t="s">
        <v>18</v>
      </c>
      <c r="F6" s="31" t="s">
        <v>19</v>
      </c>
      <c r="G6" s="31" t="s">
        <v>433</v>
      </c>
      <c r="H6" s="31" t="s">
        <v>150</v>
      </c>
      <c r="I6" s="32" t="s">
        <v>146</v>
      </c>
      <c r="J6" s="32"/>
      <c r="K6" s="31">
        <v>175</v>
      </c>
      <c r="L6" s="31" t="str">
        <f>"104,7550"</f>
        <v>104,7550</v>
      </c>
      <c r="M6" s="31" t="s">
        <v>839</v>
      </c>
    </row>
    <row r="8" spans="1:12" ht="15">
      <c r="A8" s="62" t="s">
        <v>206</v>
      </c>
      <c r="B8" s="62"/>
      <c r="C8" s="62"/>
      <c r="D8" s="62"/>
      <c r="E8" s="62"/>
      <c r="F8" s="62"/>
      <c r="G8" s="62"/>
      <c r="H8" s="62"/>
      <c r="I8" s="62"/>
      <c r="J8" s="62"/>
      <c r="K8" s="62"/>
      <c r="L8" s="62"/>
    </row>
    <row r="9" spans="1:13" ht="12.75">
      <c r="A9" s="31" t="s">
        <v>982</v>
      </c>
      <c r="B9" s="31" t="s">
        <v>983</v>
      </c>
      <c r="C9" s="31" t="s">
        <v>713</v>
      </c>
      <c r="D9" s="31" t="str">
        <f>"0,5563"</f>
        <v>0,5563</v>
      </c>
      <c r="E9" s="31" t="s">
        <v>26</v>
      </c>
      <c r="F9" s="31" t="s">
        <v>27</v>
      </c>
      <c r="G9" s="32" t="s">
        <v>139</v>
      </c>
      <c r="H9" s="31" t="s">
        <v>139</v>
      </c>
      <c r="I9" s="31" t="s">
        <v>123</v>
      </c>
      <c r="J9" s="32"/>
      <c r="K9" s="31">
        <v>180</v>
      </c>
      <c r="L9" s="31" t="str">
        <f>"100,1340"</f>
        <v>100,1340</v>
      </c>
      <c r="M9" s="31" t="s">
        <v>173</v>
      </c>
    </row>
    <row r="11" spans="1:12" ht="15">
      <c r="A11" s="62" t="s">
        <v>235</v>
      </c>
      <c r="B11" s="62"/>
      <c r="C11" s="62"/>
      <c r="D11" s="62"/>
      <c r="E11" s="62"/>
      <c r="F11" s="62"/>
      <c r="G11" s="62"/>
      <c r="H11" s="62"/>
      <c r="I11" s="62"/>
      <c r="J11" s="62"/>
      <c r="K11" s="62"/>
      <c r="L11" s="62"/>
    </row>
    <row r="12" spans="1:13" ht="12.75">
      <c r="A12" s="33" t="s">
        <v>984</v>
      </c>
      <c r="B12" s="33" t="s">
        <v>985</v>
      </c>
      <c r="C12" s="33" t="s">
        <v>986</v>
      </c>
      <c r="D12" s="33" t="str">
        <f>"0,5372"</f>
        <v>0,5372</v>
      </c>
      <c r="E12" s="33" t="s">
        <v>674</v>
      </c>
      <c r="F12" s="33" t="s">
        <v>675</v>
      </c>
      <c r="G12" s="33" t="s">
        <v>266</v>
      </c>
      <c r="H12" s="34" t="s">
        <v>186</v>
      </c>
      <c r="I12" s="34" t="s">
        <v>692</v>
      </c>
      <c r="J12" s="34"/>
      <c r="K12" s="33">
        <v>255</v>
      </c>
      <c r="L12" s="33" t="str">
        <f>"136,9860"</f>
        <v>136,9860</v>
      </c>
      <c r="M12" s="33" t="s">
        <v>173</v>
      </c>
    </row>
    <row r="13" spans="1:13" ht="12.75">
      <c r="A13" s="35" t="s">
        <v>922</v>
      </c>
      <c r="B13" s="35" t="s">
        <v>923</v>
      </c>
      <c r="C13" s="35" t="s">
        <v>987</v>
      </c>
      <c r="D13" s="35" t="str">
        <f>"0,5377"</f>
        <v>0,5377</v>
      </c>
      <c r="E13" s="35" t="s">
        <v>904</v>
      </c>
      <c r="F13" s="35" t="s">
        <v>905</v>
      </c>
      <c r="G13" s="36" t="s">
        <v>231</v>
      </c>
      <c r="H13" s="36" t="s">
        <v>231</v>
      </c>
      <c r="I13" s="36"/>
      <c r="J13" s="36"/>
      <c r="K13" s="35">
        <v>0</v>
      </c>
      <c r="L13" s="35" t="str">
        <f>"0,0000"</f>
        <v>0,0000</v>
      </c>
      <c r="M13" s="35" t="s">
        <v>173</v>
      </c>
    </row>
    <row r="14" spans="1:13" ht="12.75">
      <c r="A14" s="37" t="s">
        <v>984</v>
      </c>
      <c r="B14" s="37" t="s">
        <v>988</v>
      </c>
      <c r="C14" s="37" t="s">
        <v>986</v>
      </c>
      <c r="D14" s="37" t="str">
        <f>"0,5372"</f>
        <v>0,5372</v>
      </c>
      <c r="E14" s="37" t="s">
        <v>674</v>
      </c>
      <c r="F14" s="37" t="s">
        <v>675</v>
      </c>
      <c r="G14" s="37" t="s">
        <v>266</v>
      </c>
      <c r="H14" s="38" t="s">
        <v>186</v>
      </c>
      <c r="I14" s="38" t="s">
        <v>692</v>
      </c>
      <c r="J14" s="38"/>
      <c r="K14" s="37">
        <v>255</v>
      </c>
      <c r="L14" s="37" t="str">
        <f>"143,5613"</f>
        <v>143,5613</v>
      </c>
      <c r="M14" s="37" t="s">
        <v>173</v>
      </c>
    </row>
    <row r="16" spans="5:6" ht="15">
      <c r="E16" s="39" t="s">
        <v>279</v>
      </c>
      <c r="F16" s="41" t="s">
        <v>1935</v>
      </c>
    </row>
    <row r="17" spans="5:6" ht="15">
      <c r="E17" s="39" t="s">
        <v>1940</v>
      </c>
      <c r="F17" s="41" t="s">
        <v>1941</v>
      </c>
    </row>
    <row r="18" spans="5:6" ht="15">
      <c r="E18" s="39" t="s">
        <v>280</v>
      </c>
      <c r="F18" s="41" t="s">
        <v>1936</v>
      </c>
    </row>
    <row r="19" spans="5:6" ht="15">
      <c r="E19" s="39" t="s">
        <v>281</v>
      </c>
      <c r="F19" s="41" t="s">
        <v>1939</v>
      </c>
    </row>
    <row r="20" spans="5:6" ht="15">
      <c r="E20" s="39" t="s">
        <v>282</v>
      </c>
      <c r="F20" s="41" t="s">
        <v>1943</v>
      </c>
    </row>
    <row r="21" spans="5:6" ht="15">
      <c r="E21" s="39" t="s">
        <v>282</v>
      </c>
      <c r="F21" s="41" t="s">
        <v>1944</v>
      </c>
    </row>
    <row r="22" spans="5:6" ht="15">
      <c r="E22" s="39" t="s">
        <v>283</v>
      </c>
      <c r="F22" s="41" t="s">
        <v>1942</v>
      </c>
    </row>
    <row r="23" spans="5:6" ht="15">
      <c r="E23" s="39" t="s">
        <v>1937</v>
      </c>
      <c r="F23" s="41" t="s">
        <v>1938</v>
      </c>
    </row>
    <row r="24" spans="1:2" ht="18">
      <c r="A24" s="40" t="s">
        <v>284</v>
      </c>
      <c r="B24" s="40"/>
    </row>
    <row r="25" spans="1:2" ht="15">
      <c r="A25" s="42" t="s">
        <v>312</v>
      </c>
      <c r="B25" s="42"/>
    </row>
    <row r="26" spans="1:2" ht="14.25">
      <c r="A26" s="44"/>
      <c r="B26" s="45" t="s">
        <v>301</v>
      </c>
    </row>
    <row r="27" spans="1:5" ht="15">
      <c r="A27" s="46" t="s">
        <v>287</v>
      </c>
      <c r="B27" s="46" t="s">
        <v>288</v>
      </c>
      <c r="C27" s="46" t="s">
        <v>289</v>
      </c>
      <c r="D27" s="46" t="s">
        <v>290</v>
      </c>
      <c r="E27" s="46" t="s">
        <v>291</v>
      </c>
    </row>
    <row r="28" spans="1:5" ht="12.75">
      <c r="A28" s="43" t="s">
        <v>984</v>
      </c>
      <c r="B28" s="30" t="s">
        <v>301</v>
      </c>
      <c r="C28" s="30" t="s">
        <v>320</v>
      </c>
      <c r="D28" s="30" t="s">
        <v>266</v>
      </c>
      <c r="E28" s="47" t="s">
        <v>989</v>
      </c>
    </row>
    <row r="29" spans="1:5" ht="12.75">
      <c r="A29" s="43" t="s">
        <v>980</v>
      </c>
      <c r="B29" s="30" t="s">
        <v>301</v>
      </c>
      <c r="C29" s="30" t="s">
        <v>323</v>
      </c>
      <c r="D29" s="30" t="s">
        <v>150</v>
      </c>
      <c r="E29" s="47" t="s">
        <v>990</v>
      </c>
    </row>
    <row r="30" spans="1:5" ht="12.75">
      <c r="A30" s="43" t="s">
        <v>982</v>
      </c>
      <c r="B30" s="30" t="s">
        <v>301</v>
      </c>
      <c r="C30" s="30" t="s">
        <v>315</v>
      </c>
      <c r="D30" s="30" t="s">
        <v>123</v>
      </c>
      <c r="E30" s="47" t="s">
        <v>991</v>
      </c>
    </row>
    <row r="32" spans="1:2" ht="14.25">
      <c r="A32" s="44"/>
      <c r="B32" s="45" t="s">
        <v>340</v>
      </c>
    </row>
    <row r="33" spans="1:5" ht="15">
      <c r="A33" s="46" t="s">
        <v>287</v>
      </c>
      <c r="B33" s="46" t="s">
        <v>288</v>
      </c>
      <c r="C33" s="46" t="s">
        <v>289</v>
      </c>
      <c r="D33" s="46" t="s">
        <v>290</v>
      </c>
      <c r="E33" s="46" t="s">
        <v>291</v>
      </c>
    </row>
    <row r="34" spans="1:5" ht="12.75">
      <c r="A34" s="43" t="s">
        <v>984</v>
      </c>
      <c r="B34" s="30" t="s">
        <v>350</v>
      </c>
      <c r="C34" s="30" t="s">
        <v>320</v>
      </c>
      <c r="D34" s="30" t="s">
        <v>266</v>
      </c>
      <c r="E34" s="47" t="s">
        <v>992</v>
      </c>
    </row>
    <row r="39" spans="1:2" ht="18">
      <c r="A39" s="40" t="s">
        <v>352</v>
      </c>
      <c r="B39" s="40"/>
    </row>
    <row r="40" spans="1:3" ht="15">
      <c r="A40" s="46" t="s">
        <v>353</v>
      </c>
      <c r="B40" s="46" t="s">
        <v>354</v>
      </c>
      <c r="C40" s="46" t="s">
        <v>355</v>
      </c>
    </row>
    <row r="41" spans="1:3" ht="12.75">
      <c r="A41" s="30" t="s">
        <v>674</v>
      </c>
      <c r="B41" s="30" t="s">
        <v>360</v>
      </c>
      <c r="C41" s="30" t="s">
        <v>993</v>
      </c>
    </row>
    <row r="42" spans="1:3" ht="12.75">
      <c r="A42" s="30" t="s">
        <v>26</v>
      </c>
      <c r="B42" s="30" t="s">
        <v>369</v>
      </c>
      <c r="C42" s="30" t="s">
        <v>994</v>
      </c>
    </row>
    <row r="43" spans="1:3" ht="12.75">
      <c r="A43" s="30" t="s">
        <v>18</v>
      </c>
      <c r="B43" s="30" t="s">
        <v>369</v>
      </c>
      <c r="C43" s="30" t="s">
        <v>995</v>
      </c>
    </row>
  </sheetData>
  <sheetProtection/>
  <mergeCells count="14">
    <mergeCell ref="M3:M4"/>
    <mergeCell ref="A5:L5"/>
    <mergeCell ref="A8:L8"/>
    <mergeCell ref="A11:L11"/>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26"/>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3.125" style="30" customWidth="1"/>
    <col min="4" max="4" width="10.625" style="30" bestFit="1" customWidth="1"/>
    <col min="5" max="5" width="22.75390625" style="30" bestFit="1" customWidth="1"/>
    <col min="6" max="6" width="36.875" style="30" bestFit="1" customWidth="1"/>
    <col min="7" max="9" width="5.625" style="30" bestFit="1" customWidth="1"/>
    <col min="10" max="10" width="4.625" style="30" bestFit="1" customWidth="1"/>
    <col min="11" max="11" width="7.875" style="30" bestFit="1" customWidth="1"/>
    <col min="12" max="12" width="8.625" style="30" bestFit="1" customWidth="1"/>
    <col min="13" max="13" width="15.875" style="30" bestFit="1" customWidth="1"/>
  </cols>
  <sheetData>
    <row r="1" spans="1:13" s="1" customFormat="1" ht="15" customHeight="1">
      <c r="A1" s="48" t="s">
        <v>814</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2</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93</v>
      </c>
      <c r="B5" s="61"/>
      <c r="C5" s="61"/>
      <c r="D5" s="61"/>
      <c r="E5" s="61"/>
      <c r="F5" s="61"/>
      <c r="G5" s="61"/>
      <c r="H5" s="61"/>
      <c r="I5" s="61"/>
      <c r="J5" s="61"/>
      <c r="K5" s="61"/>
      <c r="L5" s="61"/>
    </row>
    <row r="6" spans="1:13" ht="12.75">
      <c r="A6" s="31" t="s">
        <v>815</v>
      </c>
      <c r="B6" s="31" t="s">
        <v>816</v>
      </c>
      <c r="C6" s="31" t="s">
        <v>817</v>
      </c>
      <c r="D6" s="31" t="str">
        <f>"0,7788"</f>
        <v>0,7788</v>
      </c>
      <c r="E6" s="31" t="s">
        <v>818</v>
      </c>
      <c r="F6" s="31" t="s">
        <v>19</v>
      </c>
      <c r="G6" s="32" t="s">
        <v>453</v>
      </c>
      <c r="H6" s="32" t="s">
        <v>21</v>
      </c>
      <c r="I6" s="31" t="s">
        <v>21</v>
      </c>
      <c r="J6" s="32"/>
      <c r="K6" s="31">
        <v>92.5</v>
      </c>
      <c r="L6" s="31" t="str">
        <f>"72,0344"</f>
        <v>72,0344</v>
      </c>
      <c r="M6" s="31" t="s">
        <v>819</v>
      </c>
    </row>
    <row r="8" spans="1:12" ht="15">
      <c r="A8" s="62" t="s">
        <v>93</v>
      </c>
      <c r="B8" s="62"/>
      <c r="C8" s="62"/>
      <c r="D8" s="62"/>
      <c r="E8" s="62"/>
      <c r="F8" s="62"/>
      <c r="G8" s="62"/>
      <c r="H8" s="62"/>
      <c r="I8" s="62"/>
      <c r="J8" s="62"/>
      <c r="K8" s="62"/>
      <c r="L8" s="62"/>
    </row>
    <row r="9" spans="1:13" ht="12.75">
      <c r="A9" s="31" t="s">
        <v>820</v>
      </c>
      <c r="B9" s="31" t="s">
        <v>821</v>
      </c>
      <c r="C9" s="31" t="s">
        <v>822</v>
      </c>
      <c r="D9" s="31" t="str">
        <f>"0,7540"</f>
        <v>0,7540</v>
      </c>
      <c r="E9" s="31" t="s">
        <v>68</v>
      </c>
      <c r="F9" s="31" t="s">
        <v>27</v>
      </c>
      <c r="G9" s="32" t="s">
        <v>69</v>
      </c>
      <c r="H9" s="32"/>
      <c r="I9" s="32"/>
      <c r="J9" s="32"/>
      <c r="K9" s="31">
        <v>0</v>
      </c>
      <c r="L9" s="31" t="str">
        <f>"0,0000"</f>
        <v>0,0000</v>
      </c>
      <c r="M9" s="31" t="s">
        <v>173</v>
      </c>
    </row>
    <row r="11" spans="1:12" ht="15">
      <c r="A11" s="62" t="s">
        <v>108</v>
      </c>
      <c r="B11" s="62"/>
      <c r="C11" s="62"/>
      <c r="D11" s="62"/>
      <c r="E11" s="62"/>
      <c r="F11" s="62"/>
      <c r="G11" s="62"/>
      <c r="H11" s="62"/>
      <c r="I11" s="62"/>
      <c r="J11" s="62"/>
      <c r="K11" s="62"/>
      <c r="L11" s="62"/>
    </row>
    <row r="12" spans="1:13" ht="12.75">
      <c r="A12" s="33" t="s">
        <v>823</v>
      </c>
      <c r="B12" s="33" t="s">
        <v>824</v>
      </c>
      <c r="C12" s="33" t="s">
        <v>825</v>
      </c>
      <c r="D12" s="33" t="str">
        <f>"0,6809"</f>
        <v>0,6809</v>
      </c>
      <c r="E12" s="33" t="s">
        <v>26</v>
      </c>
      <c r="F12" s="33" t="s">
        <v>27</v>
      </c>
      <c r="G12" s="33" t="s">
        <v>275</v>
      </c>
      <c r="H12" s="33" t="s">
        <v>139</v>
      </c>
      <c r="I12" s="33" t="s">
        <v>826</v>
      </c>
      <c r="J12" s="34"/>
      <c r="K12" s="33">
        <v>172.5</v>
      </c>
      <c r="L12" s="33" t="str">
        <f>"117,4466"</f>
        <v>117,4466</v>
      </c>
      <c r="M12" s="33" t="s">
        <v>49</v>
      </c>
    </row>
    <row r="13" spans="1:13" ht="12.75">
      <c r="A13" s="37" t="s">
        <v>827</v>
      </c>
      <c r="B13" s="37" t="s">
        <v>828</v>
      </c>
      <c r="C13" s="37" t="s">
        <v>829</v>
      </c>
      <c r="D13" s="37" t="str">
        <f>"0,6878"</f>
        <v>0,6878</v>
      </c>
      <c r="E13" s="37" t="s">
        <v>830</v>
      </c>
      <c r="F13" s="37" t="s">
        <v>831</v>
      </c>
      <c r="G13" s="37" t="s">
        <v>394</v>
      </c>
      <c r="H13" s="37" t="s">
        <v>391</v>
      </c>
      <c r="I13" s="38" t="s">
        <v>395</v>
      </c>
      <c r="J13" s="38"/>
      <c r="K13" s="37">
        <v>70</v>
      </c>
      <c r="L13" s="37" t="str">
        <f>"100,4807"</f>
        <v>100,4807</v>
      </c>
      <c r="M13" s="37" t="s">
        <v>49</v>
      </c>
    </row>
    <row r="15" spans="1:12" ht="15">
      <c r="A15" s="62" t="s">
        <v>152</v>
      </c>
      <c r="B15" s="62"/>
      <c r="C15" s="62"/>
      <c r="D15" s="62"/>
      <c r="E15" s="62"/>
      <c r="F15" s="62"/>
      <c r="G15" s="62"/>
      <c r="H15" s="62"/>
      <c r="I15" s="62"/>
      <c r="J15" s="62"/>
      <c r="K15" s="62"/>
      <c r="L15" s="62"/>
    </row>
    <row r="16" spans="1:13" ht="12.75">
      <c r="A16" s="31" t="s">
        <v>832</v>
      </c>
      <c r="B16" s="31" t="s">
        <v>833</v>
      </c>
      <c r="C16" s="31" t="s">
        <v>834</v>
      </c>
      <c r="D16" s="31" t="str">
        <f>"0,6530"</f>
        <v>0,6530</v>
      </c>
      <c r="E16" s="31" t="s">
        <v>26</v>
      </c>
      <c r="F16" s="31" t="s">
        <v>27</v>
      </c>
      <c r="G16" s="31" t="s">
        <v>391</v>
      </c>
      <c r="H16" s="31" t="s">
        <v>395</v>
      </c>
      <c r="I16" s="31" t="s">
        <v>69</v>
      </c>
      <c r="J16" s="32"/>
      <c r="K16" s="31">
        <v>80</v>
      </c>
      <c r="L16" s="31" t="str">
        <f>"108,4502"</f>
        <v>108,4502</v>
      </c>
      <c r="M16" s="31" t="s">
        <v>835</v>
      </c>
    </row>
    <row r="18" spans="1:12" ht="15">
      <c r="A18" s="62" t="s">
        <v>178</v>
      </c>
      <c r="B18" s="62"/>
      <c r="C18" s="62"/>
      <c r="D18" s="62"/>
      <c r="E18" s="62"/>
      <c r="F18" s="62"/>
      <c r="G18" s="62"/>
      <c r="H18" s="62"/>
      <c r="I18" s="62"/>
      <c r="J18" s="62"/>
      <c r="K18" s="62"/>
      <c r="L18" s="62"/>
    </row>
    <row r="19" spans="1:13" ht="12.75">
      <c r="A19" s="33" t="s">
        <v>836</v>
      </c>
      <c r="B19" s="33" t="s">
        <v>837</v>
      </c>
      <c r="C19" s="33" t="s">
        <v>838</v>
      </c>
      <c r="D19" s="33" t="str">
        <f>"0,5879"</f>
        <v>0,5879</v>
      </c>
      <c r="E19" s="33" t="s">
        <v>18</v>
      </c>
      <c r="F19" s="33" t="s">
        <v>19</v>
      </c>
      <c r="G19" s="33" t="s">
        <v>99</v>
      </c>
      <c r="H19" s="33" t="s">
        <v>54</v>
      </c>
      <c r="I19" s="33" t="s">
        <v>63</v>
      </c>
      <c r="J19" s="34"/>
      <c r="K19" s="33">
        <v>140</v>
      </c>
      <c r="L19" s="33" t="str">
        <f>"85,5982"</f>
        <v>85,5982</v>
      </c>
      <c r="M19" s="33" t="s">
        <v>839</v>
      </c>
    </row>
    <row r="20" spans="1:13" ht="12.75">
      <c r="A20" s="35" t="s">
        <v>840</v>
      </c>
      <c r="B20" s="35" t="s">
        <v>841</v>
      </c>
      <c r="C20" s="35" t="s">
        <v>842</v>
      </c>
      <c r="D20" s="35" t="str">
        <f>"0,6159"</f>
        <v>0,6159</v>
      </c>
      <c r="E20" s="35" t="s">
        <v>843</v>
      </c>
      <c r="F20" s="35" t="s">
        <v>844</v>
      </c>
      <c r="G20" s="35" t="s">
        <v>80</v>
      </c>
      <c r="H20" s="35" t="s">
        <v>62</v>
      </c>
      <c r="I20" s="36" t="s">
        <v>845</v>
      </c>
      <c r="J20" s="36"/>
      <c r="K20" s="35">
        <v>130</v>
      </c>
      <c r="L20" s="35" t="str">
        <f>"84,8779"</f>
        <v>84,8779</v>
      </c>
      <c r="M20" s="35" t="s">
        <v>846</v>
      </c>
    </row>
    <row r="21" spans="1:13" ht="12.75">
      <c r="A21" s="35" t="s">
        <v>847</v>
      </c>
      <c r="B21" s="35" t="s">
        <v>848</v>
      </c>
      <c r="C21" s="35" t="s">
        <v>849</v>
      </c>
      <c r="D21" s="35" t="str">
        <f>"0,5875"</f>
        <v>0,5875</v>
      </c>
      <c r="E21" s="35" t="s">
        <v>26</v>
      </c>
      <c r="F21" s="35" t="s">
        <v>27</v>
      </c>
      <c r="G21" s="35" t="s">
        <v>124</v>
      </c>
      <c r="H21" s="35" t="s">
        <v>850</v>
      </c>
      <c r="I21" s="35" t="s">
        <v>851</v>
      </c>
      <c r="J21" s="36"/>
      <c r="K21" s="35">
        <v>212.5</v>
      </c>
      <c r="L21" s="35" t="str">
        <f>"124,8437"</f>
        <v>124,8437</v>
      </c>
      <c r="M21" s="35" t="s">
        <v>852</v>
      </c>
    </row>
    <row r="22" spans="1:13" ht="12.75">
      <c r="A22" s="35" t="s">
        <v>853</v>
      </c>
      <c r="B22" s="35" t="s">
        <v>854</v>
      </c>
      <c r="C22" s="35" t="s">
        <v>855</v>
      </c>
      <c r="D22" s="35" t="str">
        <f>"0,5885"</f>
        <v>0,5885</v>
      </c>
      <c r="E22" s="35" t="s">
        <v>18</v>
      </c>
      <c r="F22" s="35" t="s">
        <v>19</v>
      </c>
      <c r="G22" s="35" t="s">
        <v>123</v>
      </c>
      <c r="H22" s="36" t="s">
        <v>146</v>
      </c>
      <c r="I22" s="36" t="s">
        <v>146</v>
      </c>
      <c r="J22" s="36"/>
      <c r="K22" s="35">
        <v>180</v>
      </c>
      <c r="L22" s="35" t="str">
        <f>"105,9300"</f>
        <v>105,9300</v>
      </c>
      <c r="M22" s="35" t="s">
        <v>856</v>
      </c>
    </row>
    <row r="23" spans="1:13" ht="12.75">
      <c r="A23" s="35" t="s">
        <v>857</v>
      </c>
      <c r="B23" s="35" t="s">
        <v>858</v>
      </c>
      <c r="C23" s="35" t="s">
        <v>203</v>
      </c>
      <c r="D23" s="35" t="str">
        <f>"0,5914"</f>
        <v>0,5914</v>
      </c>
      <c r="E23" s="35" t="s">
        <v>859</v>
      </c>
      <c r="F23" s="35" t="s">
        <v>27</v>
      </c>
      <c r="G23" s="36" t="s">
        <v>139</v>
      </c>
      <c r="H23" s="36" t="s">
        <v>434</v>
      </c>
      <c r="I23" s="35" t="s">
        <v>434</v>
      </c>
      <c r="J23" s="36"/>
      <c r="K23" s="35">
        <v>177.5</v>
      </c>
      <c r="L23" s="35" t="str">
        <f>"104,9735"</f>
        <v>104,9735</v>
      </c>
      <c r="M23" s="35" t="s">
        <v>87</v>
      </c>
    </row>
    <row r="24" spans="1:13" ht="12.75">
      <c r="A24" s="35" t="s">
        <v>860</v>
      </c>
      <c r="B24" s="35" t="s">
        <v>861</v>
      </c>
      <c r="C24" s="35" t="s">
        <v>862</v>
      </c>
      <c r="D24" s="35" t="str">
        <f>"0,5883"</f>
        <v>0,5883</v>
      </c>
      <c r="E24" s="35" t="s">
        <v>61</v>
      </c>
      <c r="F24" s="35" t="s">
        <v>46</v>
      </c>
      <c r="G24" s="36" t="s">
        <v>150</v>
      </c>
      <c r="H24" s="36" t="s">
        <v>150</v>
      </c>
      <c r="I24" s="36" t="s">
        <v>150</v>
      </c>
      <c r="J24" s="36"/>
      <c r="K24" s="35">
        <v>0</v>
      </c>
      <c r="L24" s="35" t="str">
        <f>"0,0000"</f>
        <v>0,0000</v>
      </c>
      <c r="M24" s="35" t="s">
        <v>49</v>
      </c>
    </row>
    <row r="25" spans="1:13" ht="12.75">
      <c r="A25" s="35" t="s">
        <v>863</v>
      </c>
      <c r="B25" s="35" t="s">
        <v>864</v>
      </c>
      <c r="C25" s="35" t="s">
        <v>865</v>
      </c>
      <c r="D25" s="35" t="str">
        <f>"0,5853"</f>
        <v>0,5853</v>
      </c>
      <c r="E25" s="35" t="s">
        <v>866</v>
      </c>
      <c r="F25" s="35" t="s">
        <v>867</v>
      </c>
      <c r="G25" s="36" t="s">
        <v>54</v>
      </c>
      <c r="H25" s="36"/>
      <c r="I25" s="36"/>
      <c r="J25" s="36"/>
      <c r="K25" s="35">
        <v>0</v>
      </c>
      <c r="L25" s="35" t="str">
        <f>"0,0000"</f>
        <v>0,0000</v>
      </c>
      <c r="M25" s="35" t="s">
        <v>868</v>
      </c>
    </row>
    <row r="26" spans="1:13" ht="12.75">
      <c r="A26" s="37" t="s">
        <v>863</v>
      </c>
      <c r="B26" s="37" t="s">
        <v>869</v>
      </c>
      <c r="C26" s="37" t="s">
        <v>865</v>
      </c>
      <c r="D26" s="37" t="str">
        <f>"0,5853"</f>
        <v>0,5853</v>
      </c>
      <c r="E26" s="37" t="s">
        <v>866</v>
      </c>
      <c r="F26" s="37" t="s">
        <v>867</v>
      </c>
      <c r="G26" s="37" t="s">
        <v>62</v>
      </c>
      <c r="H26" s="37" t="s">
        <v>63</v>
      </c>
      <c r="I26" s="37" t="s">
        <v>55</v>
      </c>
      <c r="J26" s="38"/>
      <c r="K26" s="37">
        <v>145</v>
      </c>
      <c r="L26" s="37" t="str">
        <f>"173,8107"</f>
        <v>173,8107</v>
      </c>
      <c r="M26" s="37" t="s">
        <v>868</v>
      </c>
    </row>
    <row r="28" spans="1:12" ht="15">
      <c r="A28" s="62" t="s">
        <v>206</v>
      </c>
      <c r="B28" s="62"/>
      <c r="C28" s="62"/>
      <c r="D28" s="62"/>
      <c r="E28" s="62"/>
      <c r="F28" s="62"/>
      <c r="G28" s="62"/>
      <c r="H28" s="62"/>
      <c r="I28" s="62"/>
      <c r="J28" s="62"/>
      <c r="K28" s="62"/>
      <c r="L28" s="62"/>
    </row>
    <row r="29" spans="1:13" ht="12.75">
      <c r="A29" s="33" t="s">
        <v>870</v>
      </c>
      <c r="B29" s="33" t="s">
        <v>871</v>
      </c>
      <c r="C29" s="33" t="s">
        <v>608</v>
      </c>
      <c r="D29" s="33" t="str">
        <f>"0,5540"</f>
        <v>0,5540</v>
      </c>
      <c r="E29" s="33" t="s">
        <v>18</v>
      </c>
      <c r="F29" s="33" t="s">
        <v>19</v>
      </c>
      <c r="G29" s="33" t="s">
        <v>62</v>
      </c>
      <c r="H29" s="33" t="s">
        <v>872</v>
      </c>
      <c r="I29" s="33" t="s">
        <v>438</v>
      </c>
      <c r="J29" s="34"/>
      <c r="K29" s="33">
        <v>150</v>
      </c>
      <c r="L29" s="33" t="str">
        <f>"86,4240"</f>
        <v>86,4240</v>
      </c>
      <c r="M29" s="33" t="s">
        <v>839</v>
      </c>
    </row>
    <row r="30" spans="1:13" ht="12.75">
      <c r="A30" s="35" t="s">
        <v>873</v>
      </c>
      <c r="B30" s="35" t="s">
        <v>874</v>
      </c>
      <c r="C30" s="35" t="s">
        <v>875</v>
      </c>
      <c r="D30" s="35" t="str">
        <f>"0,5591"</f>
        <v>0,5591</v>
      </c>
      <c r="E30" s="35" t="s">
        <v>26</v>
      </c>
      <c r="F30" s="35" t="s">
        <v>27</v>
      </c>
      <c r="G30" s="35" t="s">
        <v>275</v>
      </c>
      <c r="H30" s="35" t="s">
        <v>876</v>
      </c>
      <c r="I30" s="35" t="s">
        <v>139</v>
      </c>
      <c r="J30" s="36"/>
      <c r="K30" s="35">
        <v>170</v>
      </c>
      <c r="L30" s="35" t="str">
        <f>"95,9975"</f>
        <v>95,9975</v>
      </c>
      <c r="M30" s="35" t="s">
        <v>173</v>
      </c>
    </row>
    <row r="31" spans="1:13" ht="12.75">
      <c r="A31" s="35" t="s">
        <v>877</v>
      </c>
      <c r="B31" s="35" t="s">
        <v>878</v>
      </c>
      <c r="C31" s="35" t="s">
        <v>608</v>
      </c>
      <c r="D31" s="35" t="str">
        <f>"0,5540"</f>
        <v>0,5540</v>
      </c>
      <c r="E31" s="35" t="s">
        <v>18</v>
      </c>
      <c r="F31" s="35" t="s">
        <v>19</v>
      </c>
      <c r="G31" s="35" t="s">
        <v>146</v>
      </c>
      <c r="H31" s="35" t="s">
        <v>879</v>
      </c>
      <c r="I31" s="36" t="s">
        <v>218</v>
      </c>
      <c r="J31" s="36"/>
      <c r="K31" s="35">
        <v>192.5</v>
      </c>
      <c r="L31" s="35" t="str">
        <f>"106,6450"</f>
        <v>106,6450</v>
      </c>
      <c r="M31" s="35" t="s">
        <v>856</v>
      </c>
    </row>
    <row r="32" spans="1:13" ht="12.75">
      <c r="A32" s="35" t="s">
        <v>880</v>
      </c>
      <c r="B32" s="35" t="s">
        <v>881</v>
      </c>
      <c r="C32" s="35" t="s">
        <v>882</v>
      </c>
      <c r="D32" s="35" t="str">
        <f>"0,5639"</f>
        <v>0,5639</v>
      </c>
      <c r="E32" s="35" t="s">
        <v>883</v>
      </c>
      <c r="F32" s="35" t="s">
        <v>884</v>
      </c>
      <c r="G32" s="35" t="s">
        <v>150</v>
      </c>
      <c r="H32" s="35" t="s">
        <v>146</v>
      </c>
      <c r="I32" s="35" t="s">
        <v>156</v>
      </c>
      <c r="J32" s="36"/>
      <c r="K32" s="35">
        <v>187.5</v>
      </c>
      <c r="L32" s="35" t="str">
        <f>"105,7312"</f>
        <v>105,7312</v>
      </c>
      <c r="M32" s="35" t="s">
        <v>885</v>
      </c>
    </row>
    <row r="33" spans="1:13" ht="12.75">
      <c r="A33" s="35" t="s">
        <v>886</v>
      </c>
      <c r="B33" s="35" t="s">
        <v>887</v>
      </c>
      <c r="C33" s="35" t="s">
        <v>608</v>
      </c>
      <c r="D33" s="35" t="str">
        <f>"0,5540"</f>
        <v>0,5540</v>
      </c>
      <c r="E33" s="35" t="s">
        <v>61</v>
      </c>
      <c r="F33" s="35" t="s">
        <v>46</v>
      </c>
      <c r="G33" s="35" t="s">
        <v>123</v>
      </c>
      <c r="H33" s="35" t="s">
        <v>146</v>
      </c>
      <c r="I33" s="36" t="s">
        <v>124</v>
      </c>
      <c r="J33" s="36"/>
      <c r="K33" s="35">
        <v>185</v>
      </c>
      <c r="L33" s="35" t="str">
        <f>"102,4900"</f>
        <v>102,4900</v>
      </c>
      <c r="M33" s="35" t="s">
        <v>49</v>
      </c>
    </row>
    <row r="34" spans="1:13" ht="12.75">
      <c r="A34" s="35" t="s">
        <v>877</v>
      </c>
      <c r="B34" s="35" t="s">
        <v>888</v>
      </c>
      <c r="C34" s="35" t="s">
        <v>608</v>
      </c>
      <c r="D34" s="35" t="str">
        <f>"0,5540"</f>
        <v>0,5540</v>
      </c>
      <c r="E34" s="35" t="s">
        <v>18</v>
      </c>
      <c r="F34" s="35" t="s">
        <v>19</v>
      </c>
      <c r="G34" s="35" t="s">
        <v>146</v>
      </c>
      <c r="H34" s="35" t="s">
        <v>879</v>
      </c>
      <c r="I34" s="36" t="s">
        <v>218</v>
      </c>
      <c r="J34" s="36"/>
      <c r="K34" s="35">
        <v>192.5</v>
      </c>
      <c r="L34" s="35" t="str">
        <f>"107,6048"</f>
        <v>107,6048</v>
      </c>
      <c r="M34" s="35" t="s">
        <v>856</v>
      </c>
    </row>
    <row r="35" spans="1:13" ht="12.75">
      <c r="A35" s="37" t="s">
        <v>889</v>
      </c>
      <c r="B35" s="37" t="s">
        <v>890</v>
      </c>
      <c r="C35" s="37" t="s">
        <v>891</v>
      </c>
      <c r="D35" s="37" t="str">
        <f>"0,5558"</f>
        <v>0,5558</v>
      </c>
      <c r="E35" s="37" t="s">
        <v>892</v>
      </c>
      <c r="F35" s="37" t="s">
        <v>27</v>
      </c>
      <c r="G35" s="37" t="s">
        <v>139</v>
      </c>
      <c r="H35" s="37" t="s">
        <v>150</v>
      </c>
      <c r="I35" s="37" t="s">
        <v>123</v>
      </c>
      <c r="J35" s="38"/>
      <c r="K35" s="37">
        <v>180</v>
      </c>
      <c r="L35" s="37" t="str">
        <f>"106,9470"</f>
        <v>106,9470</v>
      </c>
      <c r="M35" s="37" t="s">
        <v>893</v>
      </c>
    </row>
    <row r="37" spans="1:12" ht="15">
      <c r="A37" s="62" t="s">
        <v>235</v>
      </c>
      <c r="B37" s="62"/>
      <c r="C37" s="62"/>
      <c r="D37" s="62"/>
      <c r="E37" s="62"/>
      <c r="F37" s="62"/>
      <c r="G37" s="62"/>
      <c r="H37" s="62"/>
      <c r="I37" s="62"/>
      <c r="J37" s="62"/>
      <c r="K37" s="62"/>
      <c r="L37" s="62"/>
    </row>
    <row r="38" spans="1:13" ht="12.75">
      <c r="A38" s="33" t="s">
        <v>894</v>
      </c>
      <c r="B38" s="33" t="s">
        <v>895</v>
      </c>
      <c r="C38" s="33" t="s">
        <v>896</v>
      </c>
      <c r="D38" s="33" t="str">
        <f>"0,5381"</f>
        <v>0,5381</v>
      </c>
      <c r="E38" s="33" t="s">
        <v>26</v>
      </c>
      <c r="F38" s="33" t="s">
        <v>27</v>
      </c>
      <c r="G38" s="33" t="s">
        <v>140</v>
      </c>
      <c r="H38" s="33" t="s">
        <v>125</v>
      </c>
      <c r="I38" s="33" t="s">
        <v>231</v>
      </c>
      <c r="J38" s="34"/>
      <c r="K38" s="33">
        <v>210</v>
      </c>
      <c r="L38" s="33" t="str">
        <f>"113,0010"</f>
        <v>113,0010</v>
      </c>
      <c r="M38" s="33" t="s">
        <v>897</v>
      </c>
    </row>
    <row r="39" spans="1:13" ht="12.75">
      <c r="A39" s="35" t="s">
        <v>898</v>
      </c>
      <c r="B39" s="35" t="s">
        <v>899</v>
      </c>
      <c r="C39" s="35" t="s">
        <v>900</v>
      </c>
      <c r="D39" s="35" t="str">
        <f>"0,5477"</f>
        <v>0,5477</v>
      </c>
      <c r="E39" s="35" t="s">
        <v>26</v>
      </c>
      <c r="F39" s="35" t="s">
        <v>27</v>
      </c>
      <c r="G39" s="35" t="s">
        <v>124</v>
      </c>
      <c r="H39" s="35" t="s">
        <v>218</v>
      </c>
      <c r="I39" s="35" t="s">
        <v>125</v>
      </c>
      <c r="J39" s="36"/>
      <c r="K39" s="35">
        <v>205</v>
      </c>
      <c r="L39" s="35" t="str">
        <f>"112,2785"</f>
        <v>112,2785</v>
      </c>
      <c r="M39" s="35" t="s">
        <v>49</v>
      </c>
    </row>
    <row r="40" spans="1:13" ht="12.75">
      <c r="A40" s="35" t="s">
        <v>901</v>
      </c>
      <c r="B40" s="35" t="s">
        <v>902</v>
      </c>
      <c r="C40" s="35" t="s">
        <v>903</v>
      </c>
      <c r="D40" s="35" t="str">
        <f>"0,5386"</f>
        <v>0,5386</v>
      </c>
      <c r="E40" s="35" t="s">
        <v>904</v>
      </c>
      <c r="F40" s="35" t="s">
        <v>905</v>
      </c>
      <c r="G40" s="35" t="s">
        <v>139</v>
      </c>
      <c r="H40" s="35" t="s">
        <v>123</v>
      </c>
      <c r="I40" s="35" t="s">
        <v>156</v>
      </c>
      <c r="J40" s="36"/>
      <c r="K40" s="35">
        <v>187.5</v>
      </c>
      <c r="L40" s="35" t="str">
        <f>"100,9875"</f>
        <v>100,9875</v>
      </c>
      <c r="M40" s="35" t="s">
        <v>906</v>
      </c>
    </row>
    <row r="41" spans="1:13" ht="12.75">
      <c r="A41" s="35" t="s">
        <v>901</v>
      </c>
      <c r="B41" s="35" t="s">
        <v>907</v>
      </c>
      <c r="C41" s="35" t="s">
        <v>903</v>
      </c>
      <c r="D41" s="35" t="str">
        <f>"0,5386"</f>
        <v>0,5386</v>
      </c>
      <c r="E41" s="35" t="s">
        <v>904</v>
      </c>
      <c r="F41" s="35" t="s">
        <v>905</v>
      </c>
      <c r="G41" s="35" t="s">
        <v>139</v>
      </c>
      <c r="H41" s="35" t="s">
        <v>123</v>
      </c>
      <c r="I41" s="35" t="s">
        <v>156</v>
      </c>
      <c r="J41" s="36"/>
      <c r="K41" s="35">
        <v>187.5</v>
      </c>
      <c r="L41" s="35" t="str">
        <f>"100,9875"</f>
        <v>100,9875</v>
      </c>
      <c r="M41" s="35" t="s">
        <v>906</v>
      </c>
    </row>
    <row r="42" spans="1:13" ht="12.75">
      <c r="A42" s="35" t="s">
        <v>908</v>
      </c>
      <c r="B42" s="35" t="s">
        <v>909</v>
      </c>
      <c r="C42" s="35" t="s">
        <v>910</v>
      </c>
      <c r="D42" s="35" t="str">
        <f>"0,5441"</f>
        <v>0,5441</v>
      </c>
      <c r="E42" s="35" t="s">
        <v>843</v>
      </c>
      <c r="F42" s="35" t="s">
        <v>844</v>
      </c>
      <c r="G42" s="35" t="s">
        <v>434</v>
      </c>
      <c r="H42" s="36" t="s">
        <v>146</v>
      </c>
      <c r="I42" s="35" t="s">
        <v>146</v>
      </c>
      <c r="J42" s="36"/>
      <c r="K42" s="35">
        <v>185</v>
      </c>
      <c r="L42" s="35" t="str">
        <f>"100,9605"</f>
        <v>100,9605</v>
      </c>
      <c r="M42" s="35" t="s">
        <v>846</v>
      </c>
    </row>
    <row r="43" spans="1:13" ht="12.75">
      <c r="A43" s="35" t="s">
        <v>911</v>
      </c>
      <c r="B43" s="35" t="s">
        <v>912</v>
      </c>
      <c r="C43" s="35" t="s">
        <v>913</v>
      </c>
      <c r="D43" s="35" t="str">
        <f>"0,5380"</f>
        <v>0,5380</v>
      </c>
      <c r="E43" s="35" t="s">
        <v>68</v>
      </c>
      <c r="F43" s="35" t="s">
        <v>27</v>
      </c>
      <c r="G43" s="36" t="s">
        <v>150</v>
      </c>
      <c r="H43" s="35" t="s">
        <v>123</v>
      </c>
      <c r="I43" s="36" t="s">
        <v>146</v>
      </c>
      <c r="J43" s="36"/>
      <c r="K43" s="35">
        <v>180</v>
      </c>
      <c r="L43" s="35" t="str">
        <f>"103,5220"</f>
        <v>103,5220</v>
      </c>
      <c r="M43" s="35" t="s">
        <v>914</v>
      </c>
    </row>
    <row r="44" spans="1:13" ht="12.75">
      <c r="A44" s="35" t="s">
        <v>915</v>
      </c>
      <c r="B44" s="35" t="s">
        <v>916</v>
      </c>
      <c r="C44" s="35" t="s">
        <v>917</v>
      </c>
      <c r="D44" s="35" t="str">
        <f>"0,5384"</f>
        <v>0,5384</v>
      </c>
      <c r="E44" s="35" t="s">
        <v>26</v>
      </c>
      <c r="F44" s="35" t="s">
        <v>27</v>
      </c>
      <c r="G44" s="35" t="s">
        <v>139</v>
      </c>
      <c r="H44" s="35" t="s">
        <v>123</v>
      </c>
      <c r="I44" s="35" t="s">
        <v>124</v>
      </c>
      <c r="J44" s="36"/>
      <c r="K44" s="35">
        <v>190</v>
      </c>
      <c r="L44" s="35" t="str">
        <f>"119,9932"</f>
        <v>119,9932</v>
      </c>
      <c r="M44" s="35" t="s">
        <v>49</v>
      </c>
    </row>
    <row r="45" spans="1:13" ht="12.75">
      <c r="A45" s="37" t="s">
        <v>918</v>
      </c>
      <c r="B45" s="37" t="s">
        <v>919</v>
      </c>
      <c r="C45" s="37" t="s">
        <v>920</v>
      </c>
      <c r="D45" s="37" t="str">
        <f>"0,5396"</f>
        <v>0,5396</v>
      </c>
      <c r="E45" s="37" t="s">
        <v>97</v>
      </c>
      <c r="F45" s="37" t="s">
        <v>98</v>
      </c>
      <c r="G45" s="37" t="s">
        <v>139</v>
      </c>
      <c r="H45" s="37" t="s">
        <v>434</v>
      </c>
      <c r="I45" s="37" t="s">
        <v>709</v>
      </c>
      <c r="J45" s="38"/>
      <c r="K45" s="37">
        <v>182.5</v>
      </c>
      <c r="L45" s="37" t="str">
        <f>"118,5663"</f>
        <v>118,5663</v>
      </c>
      <c r="M45" s="37" t="s">
        <v>921</v>
      </c>
    </row>
    <row r="47" spans="1:12" ht="15">
      <c r="A47" s="62" t="s">
        <v>262</v>
      </c>
      <c r="B47" s="62"/>
      <c r="C47" s="62"/>
      <c r="D47" s="62"/>
      <c r="E47" s="62"/>
      <c r="F47" s="62"/>
      <c r="G47" s="62"/>
      <c r="H47" s="62"/>
      <c r="I47" s="62"/>
      <c r="J47" s="62"/>
      <c r="K47" s="62"/>
      <c r="L47" s="62"/>
    </row>
    <row r="48" spans="1:13" ht="12.75">
      <c r="A48" s="31" t="s">
        <v>922</v>
      </c>
      <c r="B48" s="31" t="s">
        <v>923</v>
      </c>
      <c r="C48" s="31" t="s">
        <v>924</v>
      </c>
      <c r="D48" s="31" t="str">
        <f>"0,5360"</f>
        <v>0,5360</v>
      </c>
      <c r="E48" s="31" t="s">
        <v>904</v>
      </c>
      <c r="F48" s="31" t="s">
        <v>905</v>
      </c>
      <c r="G48" s="31" t="s">
        <v>124</v>
      </c>
      <c r="H48" s="31" t="s">
        <v>218</v>
      </c>
      <c r="I48" s="32" t="s">
        <v>125</v>
      </c>
      <c r="J48" s="32"/>
      <c r="K48" s="31">
        <v>200</v>
      </c>
      <c r="L48" s="31" t="str">
        <f>"107,2000"</f>
        <v>107,2000</v>
      </c>
      <c r="M48" s="31" t="s">
        <v>173</v>
      </c>
    </row>
    <row r="50" spans="1:12" ht="15">
      <c r="A50" s="62" t="s">
        <v>925</v>
      </c>
      <c r="B50" s="62"/>
      <c r="C50" s="62"/>
      <c r="D50" s="62"/>
      <c r="E50" s="62"/>
      <c r="F50" s="62"/>
      <c r="G50" s="62"/>
      <c r="H50" s="62"/>
      <c r="I50" s="62"/>
      <c r="J50" s="62"/>
      <c r="K50" s="62"/>
      <c r="L50" s="62"/>
    </row>
    <row r="51" spans="1:13" ht="12.75">
      <c r="A51" s="33" t="s">
        <v>926</v>
      </c>
      <c r="B51" s="33" t="s">
        <v>927</v>
      </c>
      <c r="C51" s="33" t="s">
        <v>928</v>
      </c>
      <c r="D51" s="33" t="str">
        <f>"0,4966"</f>
        <v>0,4966</v>
      </c>
      <c r="E51" s="33" t="s">
        <v>61</v>
      </c>
      <c r="F51" s="33" t="s">
        <v>46</v>
      </c>
      <c r="G51" s="33" t="s">
        <v>113</v>
      </c>
      <c r="H51" s="34" t="s">
        <v>192</v>
      </c>
      <c r="I51" s="33" t="s">
        <v>192</v>
      </c>
      <c r="J51" s="34"/>
      <c r="K51" s="33">
        <v>225</v>
      </c>
      <c r="L51" s="33" t="str">
        <f>"111,7350"</f>
        <v>111,7350</v>
      </c>
      <c r="M51" s="33" t="s">
        <v>929</v>
      </c>
    </row>
    <row r="52" spans="1:13" ht="12.75">
      <c r="A52" s="37" t="s">
        <v>926</v>
      </c>
      <c r="B52" s="37" t="s">
        <v>930</v>
      </c>
      <c r="C52" s="37" t="s">
        <v>928</v>
      </c>
      <c r="D52" s="37" t="str">
        <f>"0,4966"</f>
        <v>0,4966</v>
      </c>
      <c r="E52" s="37" t="s">
        <v>61</v>
      </c>
      <c r="F52" s="37" t="s">
        <v>46</v>
      </c>
      <c r="G52" s="37" t="s">
        <v>113</v>
      </c>
      <c r="H52" s="38" t="s">
        <v>192</v>
      </c>
      <c r="I52" s="37" t="s">
        <v>192</v>
      </c>
      <c r="J52" s="38"/>
      <c r="K52" s="37">
        <v>225</v>
      </c>
      <c r="L52" s="37" t="str">
        <f>"112,7406"</f>
        <v>112,7406</v>
      </c>
      <c r="M52" s="37" t="s">
        <v>929</v>
      </c>
    </row>
    <row r="54" spans="5:6" ht="15">
      <c r="E54" s="39" t="s">
        <v>279</v>
      </c>
      <c r="F54" s="41" t="s">
        <v>1935</v>
      </c>
    </row>
    <row r="55" spans="5:6" ht="15">
      <c r="E55" s="39" t="s">
        <v>1940</v>
      </c>
      <c r="F55" s="41" t="s">
        <v>1941</v>
      </c>
    </row>
    <row r="56" spans="5:6" ht="15">
      <c r="E56" s="39" t="s">
        <v>280</v>
      </c>
      <c r="F56" s="41" t="s">
        <v>1936</v>
      </c>
    </row>
    <row r="57" spans="5:6" ht="15">
      <c r="E57" s="39" t="s">
        <v>281</v>
      </c>
      <c r="F57" s="41" t="s">
        <v>1939</v>
      </c>
    </row>
    <row r="58" spans="5:6" ht="15">
      <c r="E58" s="39" t="s">
        <v>282</v>
      </c>
      <c r="F58" s="41" t="s">
        <v>1943</v>
      </c>
    </row>
    <row r="59" spans="5:6" ht="15">
      <c r="E59" s="39" t="s">
        <v>282</v>
      </c>
      <c r="F59" s="41" t="s">
        <v>1944</v>
      </c>
    </row>
    <row r="60" spans="5:6" ht="15">
      <c r="E60" s="39" t="s">
        <v>283</v>
      </c>
      <c r="F60" s="41" t="s">
        <v>1942</v>
      </c>
    </row>
    <row r="61" spans="5:6" ht="15">
      <c r="E61" s="39" t="s">
        <v>1937</v>
      </c>
      <c r="F61" s="41" t="s">
        <v>1938</v>
      </c>
    </row>
    <row r="62" spans="1:2" ht="18">
      <c r="A62" s="40" t="s">
        <v>284</v>
      </c>
      <c r="B62" s="40"/>
    </row>
    <row r="63" spans="1:2" ht="15">
      <c r="A63" s="42" t="s">
        <v>285</v>
      </c>
      <c r="B63" s="42"/>
    </row>
    <row r="64" spans="1:2" ht="14.25">
      <c r="A64" s="44"/>
      <c r="B64" s="45" t="s">
        <v>301</v>
      </c>
    </row>
    <row r="65" spans="1:5" ht="15">
      <c r="A65" s="46" t="s">
        <v>287</v>
      </c>
      <c r="B65" s="46" t="s">
        <v>288</v>
      </c>
      <c r="C65" s="46" t="s">
        <v>289</v>
      </c>
      <c r="D65" s="46" t="s">
        <v>290</v>
      </c>
      <c r="E65" s="46" t="s">
        <v>291</v>
      </c>
    </row>
    <row r="66" spans="1:5" ht="12.75">
      <c r="A66" s="43" t="s">
        <v>815</v>
      </c>
      <c r="B66" s="30" t="s">
        <v>301</v>
      </c>
      <c r="C66" s="30" t="s">
        <v>309</v>
      </c>
      <c r="D66" s="30" t="s">
        <v>21</v>
      </c>
      <c r="E66" s="47" t="s">
        <v>931</v>
      </c>
    </row>
    <row r="69" spans="1:2" ht="15">
      <c r="A69" s="42" t="s">
        <v>312</v>
      </c>
      <c r="B69" s="42"/>
    </row>
    <row r="70" spans="1:2" ht="14.25">
      <c r="A70" s="44"/>
      <c r="B70" s="45" t="s">
        <v>286</v>
      </c>
    </row>
    <row r="71" spans="1:5" ht="15">
      <c r="A71" s="46" t="s">
        <v>287</v>
      </c>
      <c r="B71" s="46" t="s">
        <v>288</v>
      </c>
      <c r="C71" s="46" t="s">
        <v>289</v>
      </c>
      <c r="D71" s="46" t="s">
        <v>290</v>
      </c>
      <c r="E71" s="46" t="s">
        <v>291</v>
      </c>
    </row>
    <row r="72" spans="1:5" ht="12.75">
      <c r="A72" s="43" t="s">
        <v>870</v>
      </c>
      <c r="B72" s="30" t="s">
        <v>479</v>
      </c>
      <c r="C72" s="30" t="s">
        <v>315</v>
      </c>
      <c r="D72" s="30" t="s">
        <v>438</v>
      </c>
      <c r="E72" s="47" t="s">
        <v>932</v>
      </c>
    </row>
    <row r="73" spans="1:5" ht="12.75">
      <c r="A73" s="43" t="s">
        <v>836</v>
      </c>
      <c r="B73" s="30" t="s">
        <v>479</v>
      </c>
      <c r="C73" s="30" t="s">
        <v>323</v>
      </c>
      <c r="D73" s="30" t="s">
        <v>63</v>
      </c>
      <c r="E73" s="47" t="s">
        <v>933</v>
      </c>
    </row>
    <row r="74" spans="1:5" ht="12.75">
      <c r="A74" s="43" t="s">
        <v>840</v>
      </c>
      <c r="B74" s="30" t="s">
        <v>479</v>
      </c>
      <c r="C74" s="30" t="s">
        <v>323</v>
      </c>
      <c r="D74" s="30" t="s">
        <v>62</v>
      </c>
      <c r="E74" s="47" t="s">
        <v>934</v>
      </c>
    </row>
    <row r="76" spans="1:2" ht="14.25">
      <c r="A76" s="44"/>
      <c r="B76" s="45" t="s">
        <v>297</v>
      </c>
    </row>
    <row r="77" spans="1:5" ht="15">
      <c r="A77" s="46" t="s">
        <v>287</v>
      </c>
      <c r="B77" s="46" t="s">
        <v>288</v>
      </c>
      <c r="C77" s="46" t="s">
        <v>289</v>
      </c>
      <c r="D77" s="46" t="s">
        <v>290</v>
      </c>
      <c r="E77" s="46" t="s">
        <v>291</v>
      </c>
    </row>
    <row r="78" spans="1:5" ht="12.75">
      <c r="A78" s="43" t="s">
        <v>873</v>
      </c>
      <c r="B78" s="30" t="s">
        <v>298</v>
      </c>
      <c r="C78" s="30" t="s">
        <v>315</v>
      </c>
      <c r="D78" s="30" t="s">
        <v>139</v>
      </c>
      <c r="E78" s="47" t="s">
        <v>935</v>
      </c>
    </row>
    <row r="80" spans="1:2" ht="14.25">
      <c r="A80" s="44"/>
      <c r="B80" s="45" t="s">
        <v>301</v>
      </c>
    </row>
    <row r="81" spans="1:5" ht="15">
      <c r="A81" s="46" t="s">
        <v>287</v>
      </c>
      <c r="B81" s="46" t="s">
        <v>288</v>
      </c>
      <c r="C81" s="46" t="s">
        <v>289</v>
      </c>
      <c r="D81" s="46" t="s">
        <v>290</v>
      </c>
      <c r="E81" s="46" t="s">
        <v>291</v>
      </c>
    </row>
    <row r="82" spans="1:5" ht="12.75">
      <c r="A82" s="43" t="s">
        <v>847</v>
      </c>
      <c r="B82" s="30" t="s">
        <v>301</v>
      </c>
      <c r="C82" s="30" t="s">
        <v>323</v>
      </c>
      <c r="D82" s="30" t="s">
        <v>851</v>
      </c>
      <c r="E82" s="47" t="s">
        <v>936</v>
      </c>
    </row>
    <row r="83" spans="1:5" ht="12.75">
      <c r="A83" s="43" t="s">
        <v>823</v>
      </c>
      <c r="B83" s="30" t="s">
        <v>301</v>
      </c>
      <c r="C83" s="30" t="s">
        <v>313</v>
      </c>
      <c r="D83" s="30" t="s">
        <v>826</v>
      </c>
      <c r="E83" s="47" t="s">
        <v>937</v>
      </c>
    </row>
    <row r="84" spans="1:5" ht="12.75">
      <c r="A84" s="43" t="s">
        <v>894</v>
      </c>
      <c r="B84" s="30" t="s">
        <v>301</v>
      </c>
      <c r="C84" s="30" t="s">
        <v>320</v>
      </c>
      <c r="D84" s="30" t="s">
        <v>231</v>
      </c>
      <c r="E84" s="47" t="s">
        <v>938</v>
      </c>
    </row>
    <row r="85" spans="1:5" ht="12.75">
      <c r="A85" s="43" t="s">
        <v>898</v>
      </c>
      <c r="B85" s="30" t="s">
        <v>301</v>
      </c>
      <c r="C85" s="30" t="s">
        <v>320</v>
      </c>
      <c r="D85" s="30" t="s">
        <v>125</v>
      </c>
      <c r="E85" s="47" t="s">
        <v>939</v>
      </c>
    </row>
    <row r="86" spans="1:5" ht="12.75">
      <c r="A86" s="43" t="s">
        <v>926</v>
      </c>
      <c r="B86" s="30" t="s">
        <v>301</v>
      </c>
      <c r="C86" s="30" t="s">
        <v>940</v>
      </c>
      <c r="D86" s="30" t="s">
        <v>192</v>
      </c>
      <c r="E86" s="47" t="s">
        <v>941</v>
      </c>
    </row>
    <row r="87" spans="1:5" ht="12.75">
      <c r="A87" s="43" t="s">
        <v>922</v>
      </c>
      <c r="B87" s="30" t="s">
        <v>301</v>
      </c>
      <c r="C87" s="30" t="s">
        <v>330</v>
      </c>
      <c r="D87" s="30" t="s">
        <v>218</v>
      </c>
      <c r="E87" s="47" t="s">
        <v>942</v>
      </c>
    </row>
    <row r="88" spans="1:5" ht="12.75">
      <c r="A88" s="43" t="s">
        <v>877</v>
      </c>
      <c r="B88" s="30" t="s">
        <v>301</v>
      </c>
      <c r="C88" s="30" t="s">
        <v>315</v>
      </c>
      <c r="D88" s="30" t="s">
        <v>879</v>
      </c>
      <c r="E88" s="47" t="s">
        <v>943</v>
      </c>
    </row>
    <row r="89" spans="1:5" ht="12.75">
      <c r="A89" s="43" t="s">
        <v>853</v>
      </c>
      <c r="B89" s="30" t="s">
        <v>301</v>
      </c>
      <c r="C89" s="30" t="s">
        <v>323</v>
      </c>
      <c r="D89" s="30" t="s">
        <v>123</v>
      </c>
      <c r="E89" s="47" t="s">
        <v>944</v>
      </c>
    </row>
    <row r="90" spans="1:5" ht="12.75">
      <c r="A90" s="43" t="s">
        <v>880</v>
      </c>
      <c r="B90" s="30" t="s">
        <v>301</v>
      </c>
      <c r="C90" s="30" t="s">
        <v>315</v>
      </c>
      <c r="D90" s="30" t="s">
        <v>156</v>
      </c>
      <c r="E90" s="47" t="s">
        <v>945</v>
      </c>
    </row>
    <row r="91" spans="1:5" ht="12.75">
      <c r="A91" s="43" t="s">
        <v>857</v>
      </c>
      <c r="B91" s="30" t="s">
        <v>301</v>
      </c>
      <c r="C91" s="30" t="s">
        <v>323</v>
      </c>
      <c r="D91" s="30" t="s">
        <v>434</v>
      </c>
      <c r="E91" s="47" t="s">
        <v>946</v>
      </c>
    </row>
    <row r="92" spans="1:5" ht="12.75">
      <c r="A92" s="43" t="s">
        <v>886</v>
      </c>
      <c r="B92" s="30" t="s">
        <v>301</v>
      </c>
      <c r="C92" s="30" t="s">
        <v>315</v>
      </c>
      <c r="D92" s="30" t="s">
        <v>146</v>
      </c>
      <c r="E92" s="47" t="s">
        <v>947</v>
      </c>
    </row>
    <row r="93" spans="1:5" ht="12.75">
      <c r="A93" s="43" t="s">
        <v>901</v>
      </c>
      <c r="B93" s="30" t="s">
        <v>301</v>
      </c>
      <c r="C93" s="30" t="s">
        <v>320</v>
      </c>
      <c r="D93" s="30" t="s">
        <v>156</v>
      </c>
      <c r="E93" s="47" t="s">
        <v>948</v>
      </c>
    </row>
    <row r="95" spans="1:2" ht="14.25">
      <c r="A95" s="44"/>
      <c r="B95" s="45" t="s">
        <v>340</v>
      </c>
    </row>
    <row r="96" spans="1:5" ht="15">
      <c r="A96" s="46" t="s">
        <v>287</v>
      </c>
      <c r="B96" s="46" t="s">
        <v>288</v>
      </c>
      <c r="C96" s="46" t="s">
        <v>289</v>
      </c>
      <c r="D96" s="46" t="s">
        <v>290</v>
      </c>
      <c r="E96" s="46" t="s">
        <v>291</v>
      </c>
    </row>
    <row r="97" spans="1:5" ht="12.75">
      <c r="A97" s="43" t="s">
        <v>863</v>
      </c>
      <c r="B97" s="30" t="s">
        <v>343</v>
      </c>
      <c r="C97" s="30" t="s">
        <v>323</v>
      </c>
      <c r="D97" s="30" t="s">
        <v>55</v>
      </c>
      <c r="E97" s="47" t="s">
        <v>949</v>
      </c>
    </row>
    <row r="98" spans="1:5" ht="12.75">
      <c r="A98" s="43" t="s">
        <v>915</v>
      </c>
      <c r="B98" s="30" t="s">
        <v>346</v>
      </c>
      <c r="C98" s="30" t="s">
        <v>320</v>
      </c>
      <c r="D98" s="30" t="s">
        <v>124</v>
      </c>
      <c r="E98" s="47" t="s">
        <v>950</v>
      </c>
    </row>
    <row r="99" spans="1:5" ht="12.75">
      <c r="A99" s="43" t="s">
        <v>918</v>
      </c>
      <c r="B99" s="30" t="s">
        <v>346</v>
      </c>
      <c r="C99" s="30" t="s">
        <v>320</v>
      </c>
      <c r="D99" s="30" t="s">
        <v>709</v>
      </c>
      <c r="E99" s="47" t="s">
        <v>951</v>
      </c>
    </row>
    <row r="100" spans="1:5" ht="12.75">
      <c r="A100" s="43" t="s">
        <v>926</v>
      </c>
      <c r="B100" s="30" t="s">
        <v>348</v>
      </c>
      <c r="C100" s="30" t="s">
        <v>940</v>
      </c>
      <c r="D100" s="30" t="s">
        <v>192</v>
      </c>
      <c r="E100" s="47" t="s">
        <v>952</v>
      </c>
    </row>
    <row r="101" spans="1:5" ht="12.75">
      <c r="A101" s="43" t="s">
        <v>832</v>
      </c>
      <c r="B101" s="30" t="s">
        <v>953</v>
      </c>
      <c r="C101" s="30" t="s">
        <v>318</v>
      </c>
      <c r="D101" s="30" t="s">
        <v>69</v>
      </c>
      <c r="E101" s="47" t="s">
        <v>954</v>
      </c>
    </row>
    <row r="102" spans="1:5" ht="12.75">
      <c r="A102" s="43" t="s">
        <v>877</v>
      </c>
      <c r="B102" s="30" t="s">
        <v>348</v>
      </c>
      <c r="C102" s="30" t="s">
        <v>315</v>
      </c>
      <c r="D102" s="30" t="s">
        <v>879</v>
      </c>
      <c r="E102" s="47" t="s">
        <v>955</v>
      </c>
    </row>
    <row r="103" spans="1:5" ht="12.75">
      <c r="A103" s="43" t="s">
        <v>889</v>
      </c>
      <c r="B103" s="30" t="s">
        <v>350</v>
      </c>
      <c r="C103" s="30" t="s">
        <v>315</v>
      </c>
      <c r="D103" s="30" t="s">
        <v>123</v>
      </c>
      <c r="E103" s="47" t="s">
        <v>956</v>
      </c>
    </row>
    <row r="104" spans="1:5" ht="12.75">
      <c r="A104" s="43" t="s">
        <v>911</v>
      </c>
      <c r="B104" s="30" t="s">
        <v>350</v>
      </c>
      <c r="C104" s="30" t="s">
        <v>320</v>
      </c>
      <c r="D104" s="30" t="s">
        <v>123</v>
      </c>
      <c r="E104" s="47" t="s">
        <v>957</v>
      </c>
    </row>
    <row r="105" spans="1:5" ht="12.75">
      <c r="A105" s="43" t="s">
        <v>901</v>
      </c>
      <c r="B105" s="30" t="s">
        <v>348</v>
      </c>
      <c r="C105" s="30" t="s">
        <v>320</v>
      </c>
      <c r="D105" s="30" t="s">
        <v>156</v>
      </c>
      <c r="E105" s="47" t="s">
        <v>948</v>
      </c>
    </row>
    <row r="106" spans="1:5" ht="12.75">
      <c r="A106" s="43" t="s">
        <v>908</v>
      </c>
      <c r="B106" s="30" t="s">
        <v>348</v>
      </c>
      <c r="C106" s="30" t="s">
        <v>320</v>
      </c>
      <c r="D106" s="30" t="s">
        <v>146</v>
      </c>
      <c r="E106" s="47" t="s">
        <v>958</v>
      </c>
    </row>
    <row r="107" spans="1:5" ht="12.75">
      <c r="A107" s="43" t="s">
        <v>827</v>
      </c>
      <c r="B107" s="30" t="s">
        <v>959</v>
      </c>
      <c r="C107" s="30" t="s">
        <v>313</v>
      </c>
      <c r="D107" s="30" t="s">
        <v>391</v>
      </c>
      <c r="E107" s="47" t="s">
        <v>960</v>
      </c>
    </row>
    <row r="112" spans="1:2" ht="18">
      <c r="A112" s="40" t="s">
        <v>352</v>
      </c>
      <c r="B112" s="40"/>
    </row>
    <row r="113" spans="1:3" ht="15">
      <c r="A113" s="46" t="s">
        <v>353</v>
      </c>
      <c r="B113" s="46" t="s">
        <v>354</v>
      </c>
      <c r="C113" s="46" t="s">
        <v>355</v>
      </c>
    </row>
    <row r="114" spans="1:3" ht="12.75">
      <c r="A114" s="30" t="s">
        <v>26</v>
      </c>
      <c r="B114" s="30" t="s">
        <v>961</v>
      </c>
      <c r="C114" s="30" t="s">
        <v>962</v>
      </c>
    </row>
    <row r="115" spans="1:3" ht="12.75">
      <c r="A115" s="30" t="s">
        <v>18</v>
      </c>
      <c r="B115" s="30" t="s">
        <v>963</v>
      </c>
      <c r="C115" s="30" t="s">
        <v>964</v>
      </c>
    </row>
    <row r="116" spans="1:3" ht="12.75">
      <c r="A116" s="30" t="s">
        <v>904</v>
      </c>
      <c r="B116" s="30" t="s">
        <v>965</v>
      </c>
      <c r="C116" s="30" t="s">
        <v>966</v>
      </c>
    </row>
    <row r="117" spans="1:3" ht="12.75">
      <c r="A117" s="30" t="s">
        <v>61</v>
      </c>
      <c r="B117" s="30" t="s">
        <v>967</v>
      </c>
      <c r="C117" s="30" t="s">
        <v>968</v>
      </c>
    </row>
    <row r="118" spans="1:3" ht="12.75">
      <c r="A118" s="30" t="s">
        <v>892</v>
      </c>
      <c r="B118" s="30" t="s">
        <v>369</v>
      </c>
      <c r="C118" s="30" t="s">
        <v>969</v>
      </c>
    </row>
    <row r="119" spans="1:3" ht="12.75">
      <c r="A119" s="30" t="s">
        <v>866</v>
      </c>
      <c r="B119" s="30" t="s">
        <v>369</v>
      </c>
      <c r="C119" s="30" t="s">
        <v>970</v>
      </c>
    </row>
    <row r="120" spans="1:3" ht="12.75">
      <c r="A120" s="30" t="s">
        <v>68</v>
      </c>
      <c r="B120" s="30" t="s">
        <v>369</v>
      </c>
      <c r="C120" s="30" t="s">
        <v>971</v>
      </c>
    </row>
    <row r="121" spans="1:3" ht="12.75">
      <c r="A121" s="30" t="s">
        <v>818</v>
      </c>
      <c r="B121" s="30" t="s">
        <v>369</v>
      </c>
      <c r="C121" s="30" t="s">
        <v>972</v>
      </c>
    </row>
    <row r="122" spans="1:3" ht="12.75">
      <c r="A122" s="30" t="s">
        <v>830</v>
      </c>
      <c r="B122" s="30" t="s">
        <v>369</v>
      </c>
      <c r="C122" s="30" t="s">
        <v>973</v>
      </c>
    </row>
    <row r="123" spans="1:3" ht="12.75">
      <c r="A123" s="30" t="s">
        <v>843</v>
      </c>
      <c r="B123" s="30" t="s">
        <v>974</v>
      </c>
      <c r="C123" s="30" t="s">
        <v>975</v>
      </c>
    </row>
    <row r="124" spans="1:3" ht="12.75">
      <c r="A124" s="30" t="s">
        <v>97</v>
      </c>
      <c r="B124" s="30" t="s">
        <v>381</v>
      </c>
      <c r="C124" s="30" t="s">
        <v>976</v>
      </c>
    </row>
    <row r="125" spans="1:3" ht="12.75">
      <c r="A125" s="30" t="s">
        <v>883</v>
      </c>
      <c r="B125" s="30" t="s">
        <v>381</v>
      </c>
      <c r="C125" s="30" t="s">
        <v>977</v>
      </c>
    </row>
    <row r="126" spans="1:3" ht="12.75">
      <c r="A126" s="30" t="s">
        <v>859</v>
      </c>
      <c r="B126" s="30" t="s">
        <v>383</v>
      </c>
      <c r="C126" s="30" t="s">
        <v>978</v>
      </c>
    </row>
  </sheetData>
  <sheetProtection/>
  <mergeCells count="20">
    <mergeCell ref="A28:L28"/>
    <mergeCell ref="A37:L37"/>
    <mergeCell ref="A47:L47"/>
    <mergeCell ref="A50:L50"/>
    <mergeCell ref="M3:M4"/>
    <mergeCell ref="A5:L5"/>
    <mergeCell ref="A8:L8"/>
    <mergeCell ref="A11:L11"/>
    <mergeCell ref="A15:L15"/>
    <mergeCell ref="A18:L18"/>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U2"/>
    </sheetView>
  </sheetViews>
  <sheetFormatPr defaultColWidth="9.00390625" defaultRowHeight="12.75"/>
  <cols>
    <col min="1" max="1" width="31.875" style="30" bestFit="1" customWidth="1"/>
    <col min="2" max="2" width="21.375" style="30" bestFit="1" customWidth="1"/>
    <col min="3" max="3" width="13.12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3" width="5.625" style="30" bestFit="1" customWidth="1"/>
    <col min="14" max="14" width="4.625" style="30" bestFit="1" customWidth="1"/>
    <col min="15" max="17" width="5.625" style="30" bestFit="1" customWidth="1"/>
    <col min="18" max="18" width="4.625" style="30" bestFit="1" customWidth="1"/>
    <col min="19" max="19" width="7.875" style="30" bestFit="1" customWidth="1"/>
    <col min="20" max="20" width="8.625" style="30" bestFit="1" customWidth="1"/>
    <col min="21" max="21" width="11.875" style="30" bestFit="1" customWidth="1"/>
  </cols>
  <sheetData>
    <row r="1" spans="1:21" s="1" customFormat="1" ht="15" customHeight="1">
      <c r="A1" s="48" t="s">
        <v>787</v>
      </c>
      <c r="B1" s="49"/>
      <c r="C1" s="49"/>
      <c r="D1" s="49"/>
      <c r="E1" s="49"/>
      <c r="F1" s="49"/>
      <c r="G1" s="49"/>
      <c r="H1" s="49"/>
      <c r="I1" s="49"/>
      <c r="J1" s="49"/>
      <c r="K1" s="49"/>
      <c r="L1" s="49"/>
      <c r="M1" s="49"/>
      <c r="N1" s="49"/>
      <c r="O1" s="49"/>
      <c r="P1" s="49"/>
      <c r="Q1" s="49"/>
      <c r="R1" s="49"/>
      <c r="S1" s="49"/>
      <c r="T1" s="49"/>
      <c r="U1" s="50"/>
    </row>
    <row r="2" spans="1:21" s="1" customFormat="1" ht="66" customHeight="1" thickBot="1">
      <c r="A2" s="51"/>
      <c r="B2" s="52"/>
      <c r="C2" s="52"/>
      <c r="D2" s="52"/>
      <c r="E2" s="52"/>
      <c r="F2" s="52"/>
      <c r="G2" s="52"/>
      <c r="H2" s="52"/>
      <c r="I2" s="52"/>
      <c r="J2" s="52"/>
      <c r="K2" s="52"/>
      <c r="L2" s="52"/>
      <c r="M2" s="52"/>
      <c r="N2" s="52"/>
      <c r="O2" s="52"/>
      <c r="P2" s="52"/>
      <c r="Q2" s="52"/>
      <c r="R2" s="52"/>
      <c r="S2" s="52"/>
      <c r="T2" s="52"/>
      <c r="U2" s="53"/>
    </row>
    <row r="3" spans="1:21" s="2" customFormat="1" ht="12.75" customHeight="1">
      <c r="A3" s="54" t="s">
        <v>0</v>
      </c>
      <c r="B3" s="56" t="s">
        <v>11</v>
      </c>
      <c r="C3" s="58" t="s">
        <v>5</v>
      </c>
      <c r="D3" s="58" t="s">
        <v>13</v>
      </c>
      <c r="E3" s="58" t="s">
        <v>8</v>
      </c>
      <c r="F3" s="58" t="s">
        <v>10</v>
      </c>
      <c r="G3" s="58" t="s">
        <v>1</v>
      </c>
      <c r="H3" s="58"/>
      <c r="I3" s="58"/>
      <c r="J3" s="58"/>
      <c r="K3" s="58" t="s">
        <v>2</v>
      </c>
      <c r="L3" s="58"/>
      <c r="M3" s="58"/>
      <c r="N3" s="58"/>
      <c r="O3" s="58" t="s">
        <v>3</v>
      </c>
      <c r="P3" s="58"/>
      <c r="Q3" s="58"/>
      <c r="R3" s="58"/>
      <c r="S3" s="58" t="s">
        <v>4</v>
      </c>
      <c r="T3" s="58" t="s">
        <v>7</v>
      </c>
      <c r="U3" s="59" t="s">
        <v>6</v>
      </c>
    </row>
    <row r="4" spans="1:21" s="2" customFormat="1" ht="21" customHeight="1" thickBot="1">
      <c r="A4" s="55"/>
      <c r="B4" s="57"/>
      <c r="C4" s="57"/>
      <c r="D4" s="57"/>
      <c r="E4" s="57"/>
      <c r="F4" s="57"/>
      <c r="G4" s="3">
        <v>1</v>
      </c>
      <c r="H4" s="3">
        <v>2</v>
      </c>
      <c r="I4" s="3">
        <v>3</v>
      </c>
      <c r="J4" s="3" t="s">
        <v>9</v>
      </c>
      <c r="K4" s="3">
        <v>1</v>
      </c>
      <c r="L4" s="3">
        <v>2</v>
      </c>
      <c r="M4" s="3">
        <v>3</v>
      </c>
      <c r="N4" s="3" t="s">
        <v>9</v>
      </c>
      <c r="O4" s="3">
        <v>1</v>
      </c>
      <c r="P4" s="3">
        <v>2</v>
      </c>
      <c r="Q4" s="3">
        <v>3</v>
      </c>
      <c r="R4" s="3" t="s">
        <v>9</v>
      </c>
      <c r="S4" s="57"/>
      <c r="T4" s="57"/>
      <c r="U4" s="60"/>
    </row>
    <row r="5" spans="1:20" ht="15">
      <c r="A5" s="61" t="s">
        <v>108</v>
      </c>
      <c r="B5" s="61"/>
      <c r="C5" s="61"/>
      <c r="D5" s="61"/>
      <c r="E5" s="61"/>
      <c r="F5" s="61"/>
      <c r="G5" s="61"/>
      <c r="H5" s="61"/>
      <c r="I5" s="61"/>
      <c r="J5" s="61"/>
      <c r="K5" s="61"/>
      <c r="L5" s="61"/>
      <c r="M5" s="61"/>
      <c r="N5" s="61"/>
      <c r="O5" s="61"/>
      <c r="P5" s="61"/>
      <c r="Q5" s="61"/>
      <c r="R5" s="61"/>
      <c r="S5" s="61"/>
      <c r="T5" s="61"/>
    </row>
    <row r="6" spans="1:21" ht="12.75">
      <c r="A6" s="31" t="s">
        <v>788</v>
      </c>
      <c r="B6" s="31" t="s">
        <v>789</v>
      </c>
      <c r="C6" s="31" t="s">
        <v>790</v>
      </c>
      <c r="D6" s="31" t="str">
        <f>"0,6704"</f>
        <v>0,6704</v>
      </c>
      <c r="E6" s="31" t="s">
        <v>791</v>
      </c>
      <c r="F6" s="31" t="s">
        <v>792</v>
      </c>
      <c r="G6" s="31" t="s">
        <v>660</v>
      </c>
      <c r="H6" s="31" t="s">
        <v>484</v>
      </c>
      <c r="I6" s="31" t="s">
        <v>793</v>
      </c>
      <c r="J6" s="32"/>
      <c r="K6" s="31" t="s">
        <v>438</v>
      </c>
      <c r="L6" s="31" t="s">
        <v>139</v>
      </c>
      <c r="M6" s="32"/>
      <c r="N6" s="32"/>
      <c r="O6" s="31" t="s">
        <v>113</v>
      </c>
      <c r="P6" s="31" t="s">
        <v>163</v>
      </c>
      <c r="Q6" s="31" t="s">
        <v>794</v>
      </c>
      <c r="R6" s="32"/>
      <c r="S6" s="31">
        <v>763.5</v>
      </c>
      <c r="T6" s="31" t="str">
        <f>"511,8886"</f>
        <v>511,8886</v>
      </c>
      <c r="U6" s="31" t="s">
        <v>795</v>
      </c>
    </row>
    <row r="8" spans="1:20" ht="15">
      <c r="A8" s="62" t="s">
        <v>152</v>
      </c>
      <c r="B8" s="62"/>
      <c r="C8" s="62"/>
      <c r="D8" s="62"/>
      <c r="E8" s="62"/>
      <c r="F8" s="62"/>
      <c r="G8" s="62"/>
      <c r="H8" s="62"/>
      <c r="I8" s="62"/>
      <c r="J8" s="62"/>
      <c r="K8" s="62"/>
      <c r="L8" s="62"/>
      <c r="M8" s="62"/>
      <c r="N8" s="62"/>
      <c r="O8" s="62"/>
      <c r="P8" s="62"/>
      <c r="Q8" s="62"/>
      <c r="R8" s="62"/>
      <c r="S8" s="62"/>
      <c r="T8" s="62"/>
    </row>
    <row r="9" spans="1:21" ht="12.75">
      <c r="A9" s="33" t="s">
        <v>796</v>
      </c>
      <c r="B9" s="33" t="s">
        <v>797</v>
      </c>
      <c r="C9" s="33" t="s">
        <v>798</v>
      </c>
      <c r="D9" s="33" t="str">
        <f>"0,6224"</f>
        <v>0,6224</v>
      </c>
      <c r="E9" s="33" t="s">
        <v>799</v>
      </c>
      <c r="F9" s="33" t="s">
        <v>27</v>
      </c>
      <c r="G9" s="34" t="s">
        <v>800</v>
      </c>
      <c r="H9" s="33" t="s">
        <v>800</v>
      </c>
      <c r="I9" s="34" t="s">
        <v>801</v>
      </c>
      <c r="J9" s="34"/>
      <c r="K9" s="33" t="s">
        <v>433</v>
      </c>
      <c r="L9" s="33" t="s">
        <v>139</v>
      </c>
      <c r="M9" s="34" t="s">
        <v>123</v>
      </c>
      <c r="N9" s="34"/>
      <c r="O9" s="33" t="s">
        <v>185</v>
      </c>
      <c r="P9" s="33" t="s">
        <v>226</v>
      </c>
      <c r="Q9" s="34" t="s">
        <v>490</v>
      </c>
      <c r="R9" s="34"/>
      <c r="S9" s="33">
        <v>780</v>
      </c>
      <c r="T9" s="33" t="str">
        <f>"485,4720"</f>
        <v>485,4720</v>
      </c>
      <c r="U9" s="33" t="s">
        <v>49</v>
      </c>
    </row>
    <row r="10" spans="1:21" ht="12.75">
      <c r="A10" s="37" t="s">
        <v>671</v>
      </c>
      <c r="B10" s="37" t="s">
        <v>672</v>
      </c>
      <c r="C10" s="37" t="s">
        <v>673</v>
      </c>
      <c r="D10" s="37" t="str">
        <f>"0,6505"</f>
        <v>0,6505</v>
      </c>
      <c r="E10" s="37" t="s">
        <v>674</v>
      </c>
      <c r="F10" s="37" t="s">
        <v>675</v>
      </c>
      <c r="G10" s="37" t="s">
        <v>212</v>
      </c>
      <c r="H10" s="37" t="s">
        <v>676</v>
      </c>
      <c r="I10" s="38" t="s">
        <v>245</v>
      </c>
      <c r="J10" s="38"/>
      <c r="K10" s="37" t="s">
        <v>54</v>
      </c>
      <c r="L10" s="37" t="s">
        <v>55</v>
      </c>
      <c r="M10" s="38" t="s">
        <v>274</v>
      </c>
      <c r="N10" s="38"/>
      <c r="O10" s="37" t="s">
        <v>218</v>
      </c>
      <c r="P10" s="38" t="s">
        <v>231</v>
      </c>
      <c r="Q10" s="38" t="s">
        <v>231</v>
      </c>
      <c r="R10" s="38"/>
      <c r="S10" s="37">
        <v>595</v>
      </c>
      <c r="T10" s="37" t="str">
        <f>"387,0475"</f>
        <v>387,0475</v>
      </c>
      <c r="U10" s="37" t="s">
        <v>49</v>
      </c>
    </row>
    <row r="12" spans="1:20" ht="15">
      <c r="A12" s="62" t="s">
        <v>262</v>
      </c>
      <c r="B12" s="62"/>
      <c r="C12" s="62"/>
      <c r="D12" s="62"/>
      <c r="E12" s="62"/>
      <c r="F12" s="62"/>
      <c r="G12" s="62"/>
      <c r="H12" s="62"/>
      <c r="I12" s="62"/>
      <c r="J12" s="62"/>
      <c r="K12" s="62"/>
      <c r="L12" s="62"/>
      <c r="M12" s="62"/>
      <c r="N12" s="62"/>
      <c r="O12" s="62"/>
      <c r="P12" s="62"/>
      <c r="Q12" s="62"/>
      <c r="R12" s="62"/>
      <c r="S12" s="62"/>
      <c r="T12" s="62"/>
    </row>
    <row r="13" spans="1:21" ht="12.75">
      <c r="A13" s="31" t="s">
        <v>802</v>
      </c>
      <c r="B13" s="31" t="s">
        <v>803</v>
      </c>
      <c r="C13" s="31" t="s">
        <v>804</v>
      </c>
      <c r="D13" s="31" t="str">
        <f>"0,5227"</f>
        <v>0,5227</v>
      </c>
      <c r="E13" s="31" t="s">
        <v>272</v>
      </c>
      <c r="F13" s="31" t="s">
        <v>273</v>
      </c>
      <c r="G13" s="31" t="s">
        <v>805</v>
      </c>
      <c r="H13" s="32" t="s">
        <v>806</v>
      </c>
      <c r="I13" s="32" t="s">
        <v>806</v>
      </c>
      <c r="J13" s="32"/>
      <c r="K13" s="32" t="s">
        <v>198</v>
      </c>
      <c r="L13" s="32"/>
      <c r="M13" s="32"/>
      <c r="N13" s="32"/>
      <c r="O13" s="32" t="s">
        <v>500</v>
      </c>
      <c r="P13" s="32"/>
      <c r="Q13" s="32"/>
      <c r="R13" s="32"/>
      <c r="S13" s="31">
        <v>0</v>
      </c>
      <c r="T13" s="31" t="str">
        <f>"0,0000"</f>
        <v>0,0000</v>
      </c>
      <c r="U13" s="31" t="s">
        <v>807</v>
      </c>
    </row>
    <row r="15" spans="5:6" ht="15">
      <c r="E15" s="39" t="s">
        <v>279</v>
      </c>
      <c r="F15" s="41" t="s">
        <v>1935</v>
      </c>
    </row>
    <row r="16" spans="5:6" ht="15">
      <c r="E16" s="39" t="s">
        <v>1940</v>
      </c>
      <c r="F16" s="41" t="s">
        <v>1941</v>
      </c>
    </row>
    <row r="17" spans="5:6" ht="15">
      <c r="E17" s="39" t="s">
        <v>280</v>
      </c>
      <c r="F17" s="41" t="s">
        <v>1936</v>
      </c>
    </row>
    <row r="18" spans="5:6" ht="15">
      <c r="E18" s="39" t="s">
        <v>281</v>
      </c>
      <c r="F18" s="41" t="s">
        <v>1939</v>
      </c>
    </row>
    <row r="19" spans="5:6" ht="15">
      <c r="E19" s="39" t="s">
        <v>282</v>
      </c>
      <c r="F19" s="41" t="s">
        <v>1943</v>
      </c>
    </row>
    <row r="20" spans="5:6" ht="15">
      <c r="E20" s="39" t="s">
        <v>282</v>
      </c>
      <c r="F20" s="41" t="s">
        <v>1944</v>
      </c>
    </row>
    <row r="21" spans="5:6" ht="15">
      <c r="E21" s="39" t="s">
        <v>283</v>
      </c>
      <c r="F21" s="41" t="s">
        <v>1942</v>
      </c>
    </row>
    <row r="22" spans="5:6" ht="15">
      <c r="E22" s="39" t="s">
        <v>1937</v>
      </c>
      <c r="F22" s="41" t="s">
        <v>1938</v>
      </c>
    </row>
    <row r="23" spans="1:2" ht="18">
      <c r="A23" s="40" t="s">
        <v>284</v>
      </c>
      <c r="B23" s="40"/>
    </row>
    <row r="24" spans="1:2" ht="15">
      <c r="A24" s="42" t="s">
        <v>312</v>
      </c>
      <c r="B24" s="42"/>
    </row>
    <row r="25" spans="1:2" ht="14.25">
      <c r="A25" s="44"/>
      <c r="B25" s="45" t="s">
        <v>301</v>
      </c>
    </row>
    <row r="26" spans="1:5" ht="15">
      <c r="A26" s="46" t="s">
        <v>287</v>
      </c>
      <c r="B26" s="46" t="s">
        <v>288</v>
      </c>
      <c r="C26" s="46" t="s">
        <v>289</v>
      </c>
      <c r="D26" s="46" t="s">
        <v>290</v>
      </c>
      <c r="E26" s="46" t="s">
        <v>291</v>
      </c>
    </row>
    <row r="27" spans="1:5" ht="12.75">
      <c r="A27" s="43" t="s">
        <v>788</v>
      </c>
      <c r="B27" s="30" t="s">
        <v>301</v>
      </c>
      <c r="C27" s="30" t="s">
        <v>313</v>
      </c>
      <c r="D27" s="30" t="s">
        <v>808</v>
      </c>
      <c r="E27" s="47" t="s">
        <v>809</v>
      </c>
    </row>
    <row r="28" spans="1:5" ht="12.75">
      <c r="A28" s="43" t="s">
        <v>796</v>
      </c>
      <c r="B28" s="30" t="s">
        <v>301</v>
      </c>
      <c r="C28" s="30" t="s">
        <v>318</v>
      </c>
      <c r="D28" s="30" t="s">
        <v>810</v>
      </c>
      <c r="E28" s="47" t="s">
        <v>811</v>
      </c>
    </row>
    <row r="29" spans="1:5" ht="12.75">
      <c r="A29" s="43" t="s">
        <v>671</v>
      </c>
      <c r="B29" s="30" t="s">
        <v>301</v>
      </c>
      <c r="C29" s="30" t="s">
        <v>318</v>
      </c>
      <c r="D29" s="30" t="s">
        <v>754</v>
      </c>
      <c r="E29" s="47" t="s">
        <v>755</v>
      </c>
    </row>
    <row r="34" spans="1:2" ht="18">
      <c r="A34" s="40" t="s">
        <v>352</v>
      </c>
      <c r="B34" s="40"/>
    </row>
    <row r="35" spans="1:3" ht="15">
      <c r="A35" s="46" t="s">
        <v>353</v>
      </c>
      <c r="B35" s="46" t="s">
        <v>354</v>
      </c>
      <c r="C35" s="46" t="s">
        <v>355</v>
      </c>
    </row>
    <row r="36" spans="1:3" ht="12.75">
      <c r="A36" s="30" t="s">
        <v>799</v>
      </c>
      <c r="B36" s="30" t="s">
        <v>369</v>
      </c>
      <c r="C36" s="30" t="s">
        <v>812</v>
      </c>
    </row>
    <row r="37" spans="1:3" ht="12.75">
      <c r="A37" s="30" t="s">
        <v>791</v>
      </c>
      <c r="B37" s="30" t="s">
        <v>369</v>
      </c>
      <c r="C37" s="30" t="s">
        <v>813</v>
      </c>
    </row>
    <row r="38" spans="1:3" ht="12.75">
      <c r="A38" s="30" t="s">
        <v>674</v>
      </c>
      <c r="B38" s="30" t="s">
        <v>381</v>
      </c>
      <c r="C38" s="30" t="s">
        <v>781</v>
      </c>
    </row>
  </sheetData>
  <sheetProtection/>
  <mergeCells count="16">
    <mergeCell ref="S3:S4"/>
    <mergeCell ref="T3:T4"/>
    <mergeCell ref="U3:U4"/>
    <mergeCell ref="A5:T5"/>
    <mergeCell ref="A8:T8"/>
    <mergeCell ref="A12:T12"/>
    <mergeCell ref="A1:U2"/>
    <mergeCell ref="A3:A4"/>
    <mergeCell ref="B3:B4"/>
    <mergeCell ref="C3:C4"/>
    <mergeCell ref="D3:D4"/>
    <mergeCell ref="E3:E4"/>
    <mergeCell ref="F3:F4"/>
    <mergeCell ref="G3:J3"/>
    <mergeCell ref="K3:N3"/>
    <mergeCell ref="O3:R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U90"/>
  <sheetViews>
    <sheetView zoomScalePageLayoutView="0" workbookViewId="0" topLeftCell="A1">
      <selection activeCell="A1" sqref="A1:U2"/>
    </sheetView>
  </sheetViews>
  <sheetFormatPr defaultColWidth="9.00390625" defaultRowHeight="12.75"/>
  <cols>
    <col min="1" max="1" width="31.875" style="30" bestFit="1" customWidth="1"/>
    <col min="2" max="2" width="26.875" style="30" bestFit="1" customWidth="1"/>
    <col min="3" max="3" width="13.2539062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3" width="5.625" style="30" bestFit="1" customWidth="1"/>
    <col min="14" max="14" width="4.625" style="30" bestFit="1" customWidth="1"/>
    <col min="15" max="17" width="5.625" style="30" bestFit="1" customWidth="1"/>
    <col min="18" max="18" width="4.625" style="30" bestFit="1" customWidth="1"/>
    <col min="19" max="19" width="7.875" style="30" bestFit="1" customWidth="1"/>
    <col min="20" max="20" width="8.625" style="30" bestFit="1" customWidth="1"/>
    <col min="21" max="21" width="12.75390625" style="30" bestFit="1" customWidth="1"/>
  </cols>
  <sheetData>
    <row r="1" spans="1:21" s="1" customFormat="1" ht="15" customHeight="1">
      <c r="A1" s="48" t="s">
        <v>666</v>
      </c>
      <c r="B1" s="49"/>
      <c r="C1" s="49"/>
      <c r="D1" s="49"/>
      <c r="E1" s="49"/>
      <c r="F1" s="49"/>
      <c r="G1" s="49"/>
      <c r="H1" s="49"/>
      <c r="I1" s="49"/>
      <c r="J1" s="49"/>
      <c r="K1" s="49"/>
      <c r="L1" s="49"/>
      <c r="M1" s="49"/>
      <c r="N1" s="49"/>
      <c r="O1" s="49"/>
      <c r="P1" s="49"/>
      <c r="Q1" s="49"/>
      <c r="R1" s="49"/>
      <c r="S1" s="49"/>
      <c r="T1" s="49"/>
      <c r="U1" s="50"/>
    </row>
    <row r="2" spans="1:21" s="1" customFormat="1" ht="66" customHeight="1" thickBot="1">
      <c r="A2" s="51"/>
      <c r="B2" s="52"/>
      <c r="C2" s="52"/>
      <c r="D2" s="52"/>
      <c r="E2" s="52"/>
      <c r="F2" s="52"/>
      <c r="G2" s="52"/>
      <c r="H2" s="52"/>
      <c r="I2" s="52"/>
      <c r="J2" s="52"/>
      <c r="K2" s="52"/>
      <c r="L2" s="52"/>
      <c r="M2" s="52"/>
      <c r="N2" s="52"/>
      <c r="O2" s="52"/>
      <c r="P2" s="52"/>
      <c r="Q2" s="52"/>
      <c r="R2" s="52"/>
      <c r="S2" s="52"/>
      <c r="T2" s="52"/>
      <c r="U2" s="53"/>
    </row>
    <row r="3" spans="1:21" s="2" customFormat="1" ht="12.75" customHeight="1">
      <c r="A3" s="54" t="s">
        <v>0</v>
      </c>
      <c r="B3" s="56" t="s">
        <v>11</v>
      </c>
      <c r="C3" s="58" t="s">
        <v>5</v>
      </c>
      <c r="D3" s="58" t="s">
        <v>13</v>
      </c>
      <c r="E3" s="58" t="s">
        <v>8</v>
      </c>
      <c r="F3" s="58" t="s">
        <v>10</v>
      </c>
      <c r="G3" s="58" t="s">
        <v>1</v>
      </c>
      <c r="H3" s="58"/>
      <c r="I3" s="58"/>
      <c r="J3" s="58"/>
      <c r="K3" s="58" t="s">
        <v>2</v>
      </c>
      <c r="L3" s="58"/>
      <c r="M3" s="58"/>
      <c r="N3" s="58"/>
      <c r="O3" s="58" t="s">
        <v>3</v>
      </c>
      <c r="P3" s="58"/>
      <c r="Q3" s="58"/>
      <c r="R3" s="58"/>
      <c r="S3" s="58" t="s">
        <v>4</v>
      </c>
      <c r="T3" s="58" t="s">
        <v>7</v>
      </c>
      <c r="U3" s="59" t="s">
        <v>6</v>
      </c>
    </row>
    <row r="4" spans="1:21" s="2" customFormat="1" ht="21" customHeight="1" thickBot="1">
      <c r="A4" s="55"/>
      <c r="B4" s="57"/>
      <c r="C4" s="57"/>
      <c r="D4" s="57"/>
      <c r="E4" s="57"/>
      <c r="F4" s="57"/>
      <c r="G4" s="3">
        <v>1</v>
      </c>
      <c r="H4" s="3">
        <v>2</v>
      </c>
      <c r="I4" s="3">
        <v>3</v>
      </c>
      <c r="J4" s="3" t="s">
        <v>9</v>
      </c>
      <c r="K4" s="3">
        <v>1</v>
      </c>
      <c r="L4" s="3">
        <v>2</v>
      </c>
      <c r="M4" s="3">
        <v>3</v>
      </c>
      <c r="N4" s="3" t="s">
        <v>9</v>
      </c>
      <c r="O4" s="3">
        <v>1</v>
      </c>
      <c r="P4" s="3">
        <v>2</v>
      </c>
      <c r="Q4" s="3">
        <v>3</v>
      </c>
      <c r="R4" s="3" t="s">
        <v>9</v>
      </c>
      <c r="S4" s="57"/>
      <c r="T4" s="57"/>
      <c r="U4" s="60"/>
    </row>
    <row r="5" spans="1:20" ht="15">
      <c r="A5" s="61" t="s">
        <v>73</v>
      </c>
      <c r="B5" s="61"/>
      <c r="C5" s="61"/>
      <c r="D5" s="61"/>
      <c r="E5" s="61"/>
      <c r="F5" s="61"/>
      <c r="G5" s="61"/>
      <c r="H5" s="61"/>
      <c r="I5" s="61"/>
      <c r="J5" s="61"/>
      <c r="K5" s="61"/>
      <c r="L5" s="61"/>
      <c r="M5" s="61"/>
      <c r="N5" s="61"/>
      <c r="O5" s="61"/>
      <c r="P5" s="61"/>
      <c r="Q5" s="61"/>
      <c r="R5" s="61"/>
      <c r="S5" s="61"/>
      <c r="T5" s="61"/>
    </row>
    <row r="6" spans="1:21" ht="12.75">
      <c r="A6" s="31" t="s">
        <v>667</v>
      </c>
      <c r="B6" s="31" t="s">
        <v>668</v>
      </c>
      <c r="C6" s="31" t="s">
        <v>669</v>
      </c>
      <c r="D6" s="31" t="str">
        <f>"0,9441"</f>
        <v>0,9441</v>
      </c>
      <c r="E6" s="31" t="s">
        <v>399</v>
      </c>
      <c r="F6" s="31" t="s">
        <v>389</v>
      </c>
      <c r="G6" s="31" t="s">
        <v>390</v>
      </c>
      <c r="H6" s="31" t="s">
        <v>394</v>
      </c>
      <c r="I6" s="32" t="s">
        <v>401</v>
      </c>
      <c r="J6" s="32"/>
      <c r="K6" s="31" t="s">
        <v>392</v>
      </c>
      <c r="L6" s="32" t="s">
        <v>524</v>
      </c>
      <c r="M6" s="32" t="s">
        <v>524</v>
      </c>
      <c r="N6" s="32"/>
      <c r="O6" s="32" t="s">
        <v>400</v>
      </c>
      <c r="P6" s="31" t="s">
        <v>409</v>
      </c>
      <c r="Q6" s="31" t="s">
        <v>391</v>
      </c>
      <c r="R6" s="32"/>
      <c r="S6" s="31">
        <v>170</v>
      </c>
      <c r="T6" s="31" t="str">
        <f>"173,3276"</f>
        <v>173,3276</v>
      </c>
      <c r="U6" s="31" t="s">
        <v>670</v>
      </c>
    </row>
    <row r="8" spans="1:20" ht="15">
      <c r="A8" s="62" t="s">
        <v>152</v>
      </c>
      <c r="B8" s="62"/>
      <c r="C8" s="62"/>
      <c r="D8" s="62"/>
      <c r="E8" s="62"/>
      <c r="F8" s="62"/>
      <c r="G8" s="62"/>
      <c r="H8" s="62"/>
      <c r="I8" s="62"/>
      <c r="J8" s="62"/>
      <c r="K8" s="62"/>
      <c r="L8" s="62"/>
      <c r="M8" s="62"/>
      <c r="N8" s="62"/>
      <c r="O8" s="62"/>
      <c r="P8" s="62"/>
      <c r="Q8" s="62"/>
      <c r="R8" s="62"/>
      <c r="S8" s="62"/>
      <c r="T8" s="62"/>
    </row>
    <row r="9" spans="1:21" ht="12.75">
      <c r="A9" s="31" t="s">
        <v>671</v>
      </c>
      <c r="B9" s="31" t="s">
        <v>672</v>
      </c>
      <c r="C9" s="31" t="s">
        <v>673</v>
      </c>
      <c r="D9" s="31" t="str">
        <f>"0,6505"</f>
        <v>0,6505</v>
      </c>
      <c r="E9" s="31" t="s">
        <v>674</v>
      </c>
      <c r="F9" s="31" t="s">
        <v>675</v>
      </c>
      <c r="G9" s="31" t="s">
        <v>212</v>
      </c>
      <c r="H9" s="31" t="s">
        <v>676</v>
      </c>
      <c r="I9" s="32" t="s">
        <v>245</v>
      </c>
      <c r="J9" s="32"/>
      <c r="K9" s="31" t="s">
        <v>63</v>
      </c>
      <c r="L9" s="31" t="s">
        <v>55</v>
      </c>
      <c r="M9" s="32" t="s">
        <v>274</v>
      </c>
      <c r="N9" s="32"/>
      <c r="O9" s="31" t="s">
        <v>218</v>
      </c>
      <c r="P9" s="32" t="s">
        <v>231</v>
      </c>
      <c r="Q9" s="32" t="s">
        <v>231</v>
      </c>
      <c r="R9" s="32"/>
      <c r="S9" s="31">
        <v>595</v>
      </c>
      <c r="T9" s="31" t="str">
        <f>"387,0475"</f>
        <v>387,0475</v>
      </c>
      <c r="U9" s="31" t="s">
        <v>49</v>
      </c>
    </row>
    <row r="11" spans="1:20" ht="15">
      <c r="A11" s="62" t="s">
        <v>178</v>
      </c>
      <c r="B11" s="62"/>
      <c r="C11" s="62"/>
      <c r="D11" s="62"/>
      <c r="E11" s="62"/>
      <c r="F11" s="62"/>
      <c r="G11" s="62"/>
      <c r="H11" s="62"/>
      <c r="I11" s="62"/>
      <c r="J11" s="62"/>
      <c r="K11" s="62"/>
      <c r="L11" s="62"/>
      <c r="M11" s="62"/>
      <c r="N11" s="62"/>
      <c r="O11" s="62"/>
      <c r="P11" s="62"/>
      <c r="Q11" s="62"/>
      <c r="R11" s="62"/>
      <c r="S11" s="62"/>
      <c r="T11" s="62"/>
    </row>
    <row r="12" spans="1:21" ht="12.75">
      <c r="A12" s="33" t="s">
        <v>677</v>
      </c>
      <c r="B12" s="33" t="s">
        <v>678</v>
      </c>
      <c r="C12" s="33" t="s">
        <v>679</v>
      </c>
      <c r="D12" s="33" t="str">
        <f>"0,5877"</f>
        <v>0,5877</v>
      </c>
      <c r="E12" s="33" t="s">
        <v>680</v>
      </c>
      <c r="F12" s="33" t="s">
        <v>681</v>
      </c>
      <c r="G12" s="33" t="s">
        <v>113</v>
      </c>
      <c r="H12" s="33" t="s">
        <v>212</v>
      </c>
      <c r="I12" s="34" t="s">
        <v>244</v>
      </c>
      <c r="J12" s="34"/>
      <c r="K12" s="33" t="s">
        <v>55</v>
      </c>
      <c r="L12" s="33" t="s">
        <v>682</v>
      </c>
      <c r="M12" s="33" t="s">
        <v>239</v>
      </c>
      <c r="N12" s="34"/>
      <c r="O12" s="33" t="s">
        <v>185</v>
      </c>
      <c r="P12" s="34" t="s">
        <v>660</v>
      </c>
      <c r="Q12" s="34" t="s">
        <v>660</v>
      </c>
      <c r="R12" s="34"/>
      <c r="S12" s="33">
        <v>657.5</v>
      </c>
      <c r="T12" s="33" t="str">
        <f>"386,4128"</f>
        <v>386,4128</v>
      </c>
      <c r="U12" s="33" t="s">
        <v>683</v>
      </c>
    </row>
    <row r="13" spans="1:21" ht="12.75">
      <c r="A13" s="37" t="s">
        <v>684</v>
      </c>
      <c r="B13" s="37" t="s">
        <v>685</v>
      </c>
      <c r="C13" s="37" t="s">
        <v>686</v>
      </c>
      <c r="D13" s="37" t="str">
        <f>"0,5986"</f>
        <v>0,5986</v>
      </c>
      <c r="E13" s="37" t="s">
        <v>182</v>
      </c>
      <c r="F13" s="37" t="s">
        <v>183</v>
      </c>
      <c r="G13" s="37" t="s">
        <v>124</v>
      </c>
      <c r="H13" s="38" t="s">
        <v>218</v>
      </c>
      <c r="I13" s="38"/>
      <c r="J13" s="38"/>
      <c r="K13" s="38" t="s">
        <v>275</v>
      </c>
      <c r="L13" s="38"/>
      <c r="M13" s="38"/>
      <c r="N13" s="38"/>
      <c r="O13" s="38" t="s">
        <v>192</v>
      </c>
      <c r="P13" s="38"/>
      <c r="Q13" s="38"/>
      <c r="R13" s="38"/>
      <c r="S13" s="37">
        <v>0</v>
      </c>
      <c r="T13" s="37" t="str">
        <f>"0,0000"</f>
        <v>0,0000</v>
      </c>
      <c r="U13" s="37" t="s">
        <v>173</v>
      </c>
    </row>
    <row r="15" spans="1:20" ht="15">
      <c r="A15" s="62" t="s">
        <v>206</v>
      </c>
      <c r="B15" s="62"/>
      <c r="C15" s="62"/>
      <c r="D15" s="62"/>
      <c r="E15" s="62"/>
      <c r="F15" s="62"/>
      <c r="G15" s="62"/>
      <c r="H15" s="62"/>
      <c r="I15" s="62"/>
      <c r="J15" s="62"/>
      <c r="K15" s="62"/>
      <c r="L15" s="62"/>
      <c r="M15" s="62"/>
      <c r="N15" s="62"/>
      <c r="O15" s="62"/>
      <c r="P15" s="62"/>
      <c r="Q15" s="62"/>
      <c r="R15" s="62"/>
      <c r="S15" s="62"/>
      <c r="T15" s="62"/>
    </row>
    <row r="16" spans="1:21" ht="12.75">
      <c r="A16" s="33" t="s">
        <v>687</v>
      </c>
      <c r="B16" s="33" t="s">
        <v>688</v>
      </c>
      <c r="C16" s="33" t="s">
        <v>689</v>
      </c>
      <c r="D16" s="33" t="str">
        <f>"0,5597"</f>
        <v>0,5597</v>
      </c>
      <c r="E16" s="33" t="s">
        <v>690</v>
      </c>
      <c r="F16" s="33" t="s">
        <v>691</v>
      </c>
      <c r="G16" s="34" t="s">
        <v>244</v>
      </c>
      <c r="H16" s="33" t="s">
        <v>244</v>
      </c>
      <c r="I16" s="34" t="s">
        <v>266</v>
      </c>
      <c r="J16" s="34"/>
      <c r="K16" s="33" t="s">
        <v>150</v>
      </c>
      <c r="L16" s="33" t="s">
        <v>146</v>
      </c>
      <c r="M16" s="34" t="s">
        <v>124</v>
      </c>
      <c r="N16" s="34"/>
      <c r="O16" s="33" t="s">
        <v>245</v>
      </c>
      <c r="P16" s="34" t="s">
        <v>692</v>
      </c>
      <c r="Q16" s="33" t="s">
        <v>692</v>
      </c>
      <c r="R16" s="34"/>
      <c r="S16" s="33">
        <v>705</v>
      </c>
      <c r="T16" s="33" t="str">
        <f>"394,5885"</f>
        <v>394,5885</v>
      </c>
      <c r="U16" s="33" t="s">
        <v>693</v>
      </c>
    </row>
    <row r="17" spans="1:21" ht="12.75">
      <c r="A17" s="35" t="s">
        <v>687</v>
      </c>
      <c r="B17" s="35" t="s">
        <v>694</v>
      </c>
      <c r="C17" s="35" t="s">
        <v>689</v>
      </c>
      <c r="D17" s="35" t="str">
        <f>"0,5597"</f>
        <v>0,5597</v>
      </c>
      <c r="E17" s="35" t="s">
        <v>690</v>
      </c>
      <c r="F17" s="35" t="s">
        <v>691</v>
      </c>
      <c r="G17" s="36" t="s">
        <v>244</v>
      </c>
      <c r="H17" s="35" t="s">
        <v>244</v>
      </c>
      <c r="I17" s="36" t="s">
        <v>266</v>
      </c>
      <c r="J17" s="36"/>
      <c r="K17" s="35" t="s">
        <v>150</v>
      </c>
      <c r="L17" s="35" t="s">
        <v>146</v>
      </c>
      <c r="M17" s="36" t="s">
        <v>124</v>
      </c>
      <c r="N17" s="36"/>
      <c r="O17" s="35" t="s">
        <v>245</v>
      </c>
      <c r="P17" s="36" t="s">
        <v>692</v>
      </c>
      <c r="Q17" s="35" t="s">
        <v>692</v>
      </c>
      <c r="R17" s="36"/>
      <c r="S17" s="35">
        <v>705</v>
      </c>
      <c r="T17" s="35" t="str">
        <f>"394,5885"</f>
        <v>394,5885</v>
      </c>
      <c r="U17" s="35" t="s">
        <v>693</v>
      </c>
    </row>
    <row r="18" spans="1:21" ht="12.75">
      <c r="A18" s="35" t="s">
        <v>695</v>
      </c>
      <c r="B18" s="35" t="s">
        <v>696</v>
      </c>
      <c r="C18" s="35" t="s">
        <v>697</v>
      </c>
      <c r="D18" s="35" t="str">
        <f>"0,5543"</f>
        <v>0,5543</v>
      </c>
      <c r="E18" s="35" t="s">
        <v>26</v>
      </c>
      <c r="F18" s="35" t="s">
        <v>27</v>
      </c>
      <c r="G18" s="35" t="s">
        <v>218</v>
      </c>
      <c r="H18" s="35" t="s">
        <v>231</v>
      </c>
      <c r="I18" s="35" t="s">
        <v>113</v>
      </c>
      <c r="J18" s="36"/>
      <c r="K18" s="35" t="s">
        <v>124</v>
      </c>
      <c r="L18" s="36" t="s">
        <v>140</v>
      </c>
      <c r="M18" s="35" t="s">
        <v>140</v>
      </c>
      <c r="N18" s="36"/>
      <c r="O18" s="35" t="s">
        <v>231</v>
      </c>
      <c r="P18" s="35" t="s">
        <v>113</v>
      </c>
      <c r="Q18" s="35" t="s">
        <v>212</v>
      </c>
      <c r="R18" s="36"/>
      <c r="S18" s="35">
        <v>652.5</v>
      </c>
      <c r="T18" s="35" t="str">
        <f>"361,6808"</f>
        <v>361,6808</v>
      </c>
      <c r="U18" s="35" t="s">
        <v>698</v>
      </c>
    </row>
    <row r="19" spans="1:21" ht="12.75">
      <c r="A19" s="35" t="s">
        <v>699</v>
      </c>
      <c r="B19" s="35" t="s">
        <v>700</v>
      </c>
      <c r="C19" s="35" t="s">
        <v>701</v>
      </c>
      <c r="D19" s="35" t="str">
        <f>"0,5804"</f>
        <v>0,5804</v>
      </c>
      <c r="E19" s="35" t="s">
        <v>68</v>
      </c>
      <c r="F19" s="35" t="s">
        <v>27</v>
      </c>
      <c r="G19" s="36" t="s">
        <v>218</v>
      </c>
      <c r="H19" s="35" t="s">
        <v>125</v>
      </c>
      <c r="I19" s="35" t="s">
        <v>231</v>
      </c>
      <c r="J19" s="36"/>
      <c r="K19" s="35" t="s">
        <v>438</v>
      </c>
      <c r="L19" s="35" t="s">
        <v>433</v>
      </c>
      <c r="M19" s="35" t="s">
        <v>275</v>
      </c>
      <c r="N19" s="36"/>
      <c r="O19" s="36" t="s">
        <v>113</v>
      </c>
      <c r="P19" s="35" t="s">
        <v>192</v>
      </c>
      <c r="Q19" s="35" t="s">
        <v>162</v>
      </c>
      <c r="R19" s="36"/>
      <c r="S19" s="35">
        <v>605</v>
      </c>
      <c r="T19" s="35" t="str">
        <f>"351,1420"</f>
        <v>351,1420</v>
      </c>
      <c r="U19" s="35" t="s">
        <v>49</v>
      </c>
    </row>
    <row r="20" spans="1:21" ht="12.75">
      <c r="A20" s="35" t="s">
        <v>702</v>
      </c>
      <c r="B20" s="35" t="s">
        <v>703</v>
      </c>
      <c r="C20" s="35" t="s">
        <v>704</v>
      </c>
      <c r="D20" s="35" t="str">
        <f>"0,5633"</f>
        <v>0,5633</v>
      </c>
      <c r="E20" s="35" t="s">
        <v>61</v>
      </c>
      <c r="F20" s="35" t="s">
        <v>46</v>
      </c>
      <c r="G20" s="36" t="s">
        <v>113</v>
      </c>
      <c r="H20" s="36"/>
      <c r="I20" s="36"/>
      <c r="J20" s="36"/>
      <c r="K20" s="36" t="s">
        <v>433</v>
      </c>
      <c r="L20" s="36"/>
      <c r="M20" s="36"/>
      <c r="N20" s="36"/>
      <c r="O20" s="36" t="s">
        <v>113</v>
      </c>
      <c r="P20" s="36"/>
      <c r="Q20" s="36"/>
      <c r="R20" s="36"/>
      <c r="S20" s="35">
        <v>0</v>
      </c>
      <c r="T20" s="35" t="str">
        <f>"0,0000"</f>
        <v>0,0000</v>
      </c>
      <c r="U20" s="35" t="s">
        <v>173</v>
      </c>
    </row>
    <row r="21" spans="1:21" ht="12.75">
      <c r="A21" s="35" t="s">
        <v>705</v>
      </c>
      <c r="B21" s="35" t="s">
        <v>706</v>
      </c>
      <c r="C21" s="35" t="s">
        <v>707</v>
      </c>
      <c r="D21" s="35" t="str">
        <f>"0,5765"</f>
        <v>0,5765</v>
      </c>
      <c r="E21" s="35" t="s">
        <v>708</v>
      </c>
      <c r="F21" s="35" t="s">
        <v>478</v>
      </c>
      <c r="G21" s="35" t="s">
        <v>433</v>
      </c>
      <c r="H21" s="36" t="s">
        <v>123</v>
      </c>
      <c r="I21" s="36" t="s">
        <v>709</v>
      </c>
      <c r="J21" s="36"/>
      <c r="K21" s="35" t="s">
        <v>54</v>
      </c>
      <c r="L21" s="35" t="s">
        <v>63</v>
      </c>
      <c r="M21" s="35" t="s">
        <v>55</v>
      </c>
      <c r="N21" s="36"/>
      <c r="O21" s="35" t="s">
        <v>438</v>
      </c>
      <c r="P21" s="35" t="s">
        <v>139</v>
      </c>
      <c r="Q21" s="35" t="s">
        <v>123</v>
      </c>
      <c r="R21" s="36"/>
      <c r="S21" s="35">
        <v>485</v>
      </c>
      <c r="T21" s="35" t="str">
        <f>"282,1189"</f>
        <v>282,1189</v>
      </c>
      <c r="U21" s="35" t="s">
        <v>710</v>
      </c>
    </row>
    <row r="22" spans="1:21" ht="12.75">
      <c r="A22" s="35" t="s">
        <v>711</v>
      </c>
      <c r="B22" s="35" t="s">
        <v>712</v>
      </c>
      <c r="C22" s="35" t="s">
        <v>713</v>
      </c>
      <c r="D22" s="35" t="str">
        <f>"0,5563"</f>
        <v>0,5563</v>
      </c>
      <c r="E22" s="35" t="s">
        <v>26</v>
      </c>
      <c r="F22" s="35" t="s">
        <v>27</v>
      </c>
      <c r="G22" s="35" t="s">
        <v>162</v>
      </c>
      <c r="H22" s="35" t="s">
        <v>714</v>
      </c>
      <c r="I22" s="35" t="s">
        <v>676</v>
      </c>
      <c r="J22" s="36"/>
      <c r="K22" s="35" t="s">
        <v>55</v>
      </c>
      <c r="L22" s="35" t="s">
        <v>438</v>
      </c>
      <c r="M22" s="36" t="s">
        <v>274</v>
      </c>
      <c r="N22" s="36"/>
      <c r="O22" s="35" t="s">
        <v>163</v>
      </c>
      <c r="P22" s="36" t="s">
        <v>676</v>
      </c>
      <c r="Q22" s="36" t="s">
        <v>676</v>
      </c>
      <c r="R22" s="36"/>
      <c r="S22" s="35">
        <v>640</v>
      </c>
      <c r="T22" s="35" t="str">
        <f>"373,1215"</f>
        <v>373,1215</v>
      </c>
      <c r="U22" s="35" t="s">
        <v>715</v>
      </c>
    </row>
    <row r="23" spans="1:21" ht="12.75">
      <c r="A23" s="37" t="s">
        <v>716</v>
      </c>
      <c r="B23" s="37" t="s">
        <v>717</v>
      </c>
      <c r="C23" s="37" t="s">
        <v>718</v>
      </c>
      <c r="D23" s="37" t="str">
        <f>"0,5644"</f>
        <v>0,5644</v>
      </c>
      <c r="E23" s="37" t="s">
        <v>26</v>
      </c>
      <c r="F23" s="37" t="s">
        <v>27</v>
      </c>
      <c r="G23" s="37" t="s">
        <v>63</v>
      </c>
      <c r="H23" s="37" t="s">
        <v>438</v>
      </c>
      <c r="I23" s="38" t="s">
        <v>274</v>
      </c>
      <c r="J23" s="38"/>
      <c r="K23" s="37" t="s">
        <v>28</v>
      </c>
      <c r="L23" s="37" t="s">
        <v>30</v>
      </c>
      <c r="M23" s="37" t="s">
        <v>48</v>
      </c>
      <c r="N23" s="38"/>
      <c r="O23" s="38" t="s">
        <v>438</v>
      </c>
      <c r="P23" s="37" t="s">
        <v>433</v>
      </c>
      <c r="Q23" s="37" t="s">
        <v>123</v>
      </c>
      <c r="R23" s="38"/>
      <c r="S23" s="37">
        <v>445</v>
      </c>
      <c r="T23" s="37" t="str">
        <f>"321,7049"</f>
        <v>321,7049</v>
      </c>
      <c r="U23" s="37" t="s">
        <v>49</v>
      </c>
    </row>
    <row r="25" spans="1:20" ht="15">
      <c r="A25" s="62" t="s">
        <v>235</v>
      </c>
      <c r="B25" s="62"/>
      <c r="C25" s="62"/>
      <c r="D25" s="62"/>
      <c r="E25" s="62"/>
      <c r="F25" s="62"/>
      <c r="G25" s="62"/>
      <c r="H25" s="62"/>
      <c r="I25" s="62"/>
      <c r="J25" s="62"/>
      <c r="K25" s="62"/>
      <c r="L25" s="62"/>
      <c r="M25" s="62"/>
      <c r="N25" s="62"/>
      <c r="O25" s="62"/>
      <c r="P25" s="62"/>
      <c r="Q25" s="62"/>
      <c r="R25" s="62"/>
      <c r="S25" s="62"/>
      <c r="T25" s="62"/>
    </row>
    <row r="26" spans="1:21" ht="12.75">
      <c r="A26" s="33" t="s">
        <v>719</v>
      </c>
      <c r="B26" s="33" t="s">
        <v>720</v>
      </c>
      <c r="C26" s="33" t="s">
        <v>721</v>
      </c>
      <c r="D26" s="33" t="str">
        <f>"0,5467"</f>
        <v>0,5467</v>
      </c>
      <c r="E26" s="33" t="s">
        <v>26</v>
      </c>
      <c r="F26" s="33" t="s">
        <v>27</v>
      </c>
      <c r="G26" s="33" t="s">
        <v>163</v>
      </c>
      <c r="H26" s="33" t="s">
        <v>266</v>
      </c>
      <c r="I26" s="34" t="s">
        <v>245</v>
      </c>
      <c r="J26" s="34"/>
      <c r="K26" s="33" t="s">
        <v>150</v>
      </c>
      <c r="L26" s="34" t="s">
        <v>146</v>
      </c>
      <c r="M26" s="34" t="s">
        <v>146</v>
      </c>
      <c r="N26" s="34"/>
      <c r="O26" s="33" t="s">
        <v>245</v>
      </c>
      <c r="P26" s="33" t="s">
        <v>692</v>
      </c>
      <c r="Q26" s="34" t="s">
        <v>660</v>
      </c>
      <c r="R26" s="34"/>
      <c r="S26" s="33">
        <v>705</v>
      </c>
      <c r="T26" s="33" t="str">
        <f>"385,4235"</f>
        <v>385,4235</v>
      </c>
      <c r="U26" s="33" t="s">
        <v>722</v>
      </c>
    </row>
    <row r="27" spans="1:21" ht="12.75">
      <c r="A27" s="35" t="s">
        <v>723</v>
      </c>
      <c r="B27" s="35" t="s">
        <v>724</v>
      </c>
      <c r="C27" s="35" t="s">
        <v>725</v>
      </c>
      <c r="D27" s="35" t="str">
        <f>"0,5479"</f>
        <v>0,5479</v>
      </c>
      <c r="E27" s="35" t="s">
        <v>26</v>
      </c>
      <c r="F27" s="35" t="s">
        <v>27</v>
      </c>
      <c r="G27" s="35" t="s">
        <v>123</v>
      </c>
      <c r="H27" s="35" t="s">
        <v>124</v>
      </c>
      <c r="I27" s="35" t="s">
        <v>218</v>
      </c>
      <c r="J27" s="36"/>
      <c r="K27" s="35" t="s">
        <v>39</v>
      </c>
      <c r="L27" s="35" t="s">
        <v>99</v>
      </c>
      <c r="M27" s="35" t="s">
        <v>62</v>
      </c>
      <c r="N27" s="36"/>
      <c r="O27" s="35" t="s">
        <v>218</v>
      </c>
      <c r="P27" s="35" t="s">
        <v>198</v>
      </c>
      <c r="Q27" s="35" t="s">
        <v>192</v>
      </c>
      <c r="R27" s="36"/>
      <c r="S27" s="35">
        <v>555</v>
      </c>
      <c r="T27" s="35" t="str">
        <f>"304,0845"</f>
        <v>304,0845</v>
      </c>
      <c r="U27" s="35" t="s">
        <v>726</v>
      </c>
    </row>
    <row r="28" spans="1:21" ht="12.75">
      <c r="A28" s="37" t="s">
        <v>727</v>
      </c>
      <c r="B28" s="37" t="s">
        <v>728</v>
      </c>
      <c r="C28" s="37" t="s">
        <v>729</v>
      </c>
      <c r="D28" s="37" t="str">
        <f>"0,5399"</f>
        <v>0,5399</v>
      </c>
      <c r="E28" s="37" t="s">
        <v>272</v>
      </c>
      <c r="F28" s="37" t="s">
        <v>273</v>
      </c>
      <c r="G28" s="37" t="s">
        <v>124</v>
      </c>
      <c r="H28" s="37" t="s">
        <v>252</v>
      </c>
      <c r="I28" s="37" t="s">
        <v>125</v>
      </c>
      <c r="J28" s="38"/>
      <c r="K28" s="37" t="s">
        <v>48</v>
      </c>
      <c r="L28" s="37" t="s">
        <v>99</v>
      </c>
      <c r="M28" s="38"/>
      <c r="N28" s="38"/>
      <c r="O28" s="37" t="s">
        <v>124</v>
      </c>
      <c r="P28" s="37" t="s">
        <v>218</v>
      </c>
      <c r="Q28" s="37" t="s">
        <v>125</v>
      </c>
      <c r="R28" s="38"/>
      <c r="S28" s="37">
        <v>535</v>
      </c>
      <c r="T28" s="37" t="str">
        <f>"491,0391"</f>
        <v>491,0391</v>
      </c>
      <c r="U28" s="37" t="s">
        <v>277</v>
      </c>
    </row>
    <row r="30" spans="1:20" ht="15">
      <c r="A30" s="62" t="s">
        <v>262</v>
      </c>
      <c r="B30" s="62"/>
      <c r="C30" s="62"/>
      <c r="D30" s="62"/>
      <c r="E30" s="62"/>
      <c r="F30" s="62"/>
      <c r="G30" s="62"/>
      <c r="H30" s="62"/>
      <c r="I30" s="62"/>
      <c r="J30" s="62"/>
      <c r="K30" s="62"/>
      <c r="L30" s="62"/>
      <c r="M30" s="62"/>
      <c r="N30" s="62"/>
      <c r="O30" s="62"/>
      <c r="P30" s="62"/>
      <c r="Q30" s="62"/>
      <c r="R30" s="62"/>
      <c r="S30" s="62"/>
      <c r="T30" s="62"/>
    </row>
    <row r="31" spans="1:21" ht="12.75">
      <c r="A31" s="33" t="s">
        <v>730</v>
      </c>
      <c r="B31" s="33" t="s">
        <v>731</v>
      </c>
      <c r="C31" s="33" t="s">
        <v>732</v>
      </c>
      <c r="D31" s="33" t="str">
        <f>"0,5333"</f>
        <v>0,5333</v>
      </c>
      <c r="E31" s="33" t="s">
        <v>733</v>
      </c>
      <c r="F31" s="33" t="s">
        <v>734</v>
      </c>
      <c r="G31" s="33" t="s">
        <v>245</v>
      </c>
      <c r="H31" s="33" t="s">
        <v>186</v>
      </c>
      <c r="I31" s="33" t="s">
        <v>660</v>
      </c>
      <c r="J31" s="34"/>
      <c r="K31" s="33" t="s">
        <v>123</v>
      </c>
      <c r="L31" s="33" t="s">
        <v>146</v>
      </c>
      <c r="M31" s="33" t="s">
        <v>124</v>
      </c>
      <c r="N31" s="34"/>
      <c r="O31" s="33" t="s">
        <v>692</v>
      </c>
      <c r="P31" s="33" t="s">
        <v>495</v>
      </c>
      <c r="Q31" s="33" t="s">
        <v>735</v>
      </c>
      <c r="R31" s="34"/>
      <c r="S31" s="33">
        <v>770</v>
      </c>
      <c r="T31" s="33" t="str">
        <f>"414,7474"</f>
        <v>414,7474</v>
      </c>
      <c r="U31" s="33" t="s">
        <v>726</v>
      </c>
    </row>
    <row r="32" spans="1:21" ht="12.75">
      <c r="A32" s="35" t="s">
        <v>736</v>
      </c>
      <c r="B32" s="35" t="s">
        <v>737</v>
      </c>
      <c r="C32" s="35" t="s">
        <v>738</v>
      </c>
      <c r="D32" s="35" t="str">
        <f>"0,5337"</f>
        <v>0,5337</v>
      </c>
      <c r="E32" s="35" t="s">
        <v>130</v>
      </c>
      <c r="F32" s="35" t="s">
        <v>131</v>
      </c>
      <c r="G32" s="35" t="s">
        <v>500</v>
      </c>
      <c r="H32" s="35" t="s">
        <v>739</v>
      </c>
      <c r="I32" s="36" t="s">
        <v>740</v>
      </c>
      <c r="J32" s="36"/>
      <c r="K32" s="35" t="s">
        <v>231</v>
      </c>
      <c r="L32" s="35" t="s">
        <v>113</v>
      </c>
      <c r="M32" s="35" t="s">
        <v>192</v>
      </c>
      <c r="N32" s="36"/>
      <c r="O32" s="35" t="s">
        <v>660</v>
      </c>
      <c r="P32" s="35" t="s">
        <v>735</v>
      </c>
      <c r="Q32" s="35" t="s">
        <v>741</v>
      </c>
      <c r="R32" s="36"/>
      <c r="S32" s="35">
        <v>870</v>
      </c>
      <c r="T32" s="35" t="str">
        <f>"464,3190"</f>
        <v>464,3190</v>
      </c>
      <c r="U32" s="35" t="s">
        <v>134</v>
      </c>
    </row>
    <row r="33" spans="1:21" ht="12.75">
      <c r="A33" s="37" t="s">
        <v>742</v>
      </c>
      <c r="B33" s="37" t="s">
        <v>743</v>
      </c>
      <c r="C33" s="37" t="s">
        <v>744</v>
      </c>
      <c r="D33" s="37" t="str">
        <f>"0,5280"</f>
        <v>0,5280</v>
      </c>
      <c r="E33" s="37" t="s">
        <v>745</v>
      </c>
      <c r="F33" s="37" t="s">
        <v>746</v>
      </c>
      <c r="G33" s="38" t="s">
        <v>231</v>
      </c>
      <c r="H33" s="37" t="s">
        <v>231</v>
      </c>
      <c r="I33" s="37" t="s">
        <v>113</v>
      </c>
      <c r="J33" s="38"/>
      <c r="K33" s="37" t="s">
        <v>274</v>
      </c>
      <c r="L33" s="37" t="s">
        <v>433</v>
      </c>
      <c r="M33" s="37" t="s">
        <v>275</v>
      </c>
      <c r="N33" s="38"/>
      <c r="O33" s="37" t="s">
        <v>113</v>
      </c>
      <c r="P33" s="37" t="s">
        <v>162</v>
      </c>
      <c r="Q33" s="37" t="s">
        <v>163</v>
      </c>
      <c r="R33" s="38"/>
      <c r="S33" s="37">
        <v>625</v>
      </c>
      <c r="T33" s="37" t="str">
        <f>"340,2300"</f>
        <v>340,2300</v>
      </c>
      <c r="U33" s="37" t="s">
        <v>49</v>
      </c>
    </row>
    <row r="35" spans="5:6" ht="15">
      <c r="E35" s="39" t="s">
        <v>279</v>
      </c>
      <c r="F35" s="41" t="s">
        <v>1935</v>
      </c>
    </row>
    <row r="36" spans="5:6" ht="15">
      <c r="E36" s="39" t="s">
        <v>1940</v>
      </c>
      <c r="F36" s="41" t="s">
        <v>1941</v>
      </c>
    </row>
    <row r="37" spans="5:6" ht="15">
      <c r="E37" s="39" t="s">
        <v>280</v>
      </c>
      <c r="F37" s="41" t="s">
        <v>1936</v>
      </c>
    </row>
    <row r="38" spans="5:6" ht="15">
      <c r="E38" s="39" t="s">
        <v>281</v>
      </c>
      <c r="F38" s="41" t="s">
        <v>1939</v>
      </c>
    </row>
    <row r="39" spans="5:6" ht="15">
      <c r="E39" s="39" t="s">
        <v>282</v>
      </c>
      <c r="F39" s="41" t="s">
        <v>1943</v>
      </c>
    </row>
    <row r="40" spans="5:6" ht="15">
      <c r="E40" s="39" t="s">
        <v>282</v>
      </c>
      <c r="F40" s="41" t="s">
        <v>1944</v>
      </c>
    </row>
    <row r="41" spans="5:6" ht="15">
      <c r="E41" s="39" t="s">
        <v>283</v>
      </c>
      <c r="F41" s="41" t="s">
        <v>1942</v>
      </c>
    </row>
    <row r="42" spans="5:6" ht="15">
      <c r="E42" s="39" t="s">
        <v>1937</v>
      </c>
      <c r="F42" s="41" t="s">
        <v>1938</v>
      </c>
    </row>
    <row r="43" spans="1:2" ht="18">
      <c r="A43" s="40" t="s">
        <v>284</v>
      </c>
      <c r="B43" s="40"/>
    </row>
    <row r="44" spans="1:2" ht="15">
      <c r="A44" s="42" t="s">
        <v>285</v>
      </c>
      <c r="B44" s="42"/>
    </row>
    <row r="45" spans="1:2" ht="14.25">
      <c r="A45" s="44"/>
      <c r="B45" s="45" t="s">
        <v>286</v>
      </c>
    </row>
    <row r="46" spans="1:5" ht="15">
      <c r="A46" s="46" t="s">
        <v>287</v>
      </c>
      <c r="B46" s="46" t="s">
        <v>288</v>
      </c>
      <c r="C46" s="46" t="s">
        <v>289</v>
      </c>
      <c r="D46" s="46" t="s">
        <v>290</v>
      </c>
      <c r="E46" s="46" t="s">
        <v>291</v>
      </c>
    </row>
    <row r="47" spans="1:5" ht="12.75">
      <c r="A47" s="43" t="s">
        <v>667</v>
      </c>
      <c r="B47" s="30" t="s">
        <v>292</v>
      </c>
      <c r="C47" s="30" t="s">
        <v>295</v>
      </c>
      <c r="D47" s="30" t="s">
        <v>139</v>
      </c>
      <c r="E47" s="47" t="s">
        <v>747</v>
      </c>
    </row>
    <row r="50" spans="1:2" ht="15">
      <c r="A50" s="42" t="s">
        <v>312</v>
      </c>
      <c r="B50" s="42"/>
    </row>
    <row r="51" spans="1:2" ht="14.25">
      <c r="A51" s="44"/>
      <c r="B51" s="45" t="s">
        <v>297</v>
      </c>
    </row>
    <row r="52" spans="1:5" ht="15">
      <c r="A52" s="46" t="s">
        <v>287</v>
      </c>
      <c r="B52" s="46" t="s">
        <v>288</v>
      </c>
      <c r="C52" s="46" t="s">
        <v>289</v>
      </c>
      <c r="D52" s="46" t="s">
        <v>290</v>
      </c>
      <c r="E52" s="46" t="s">
        <v>291</v>
      </c>
    </row>
    <row r="53" spans="1:5" ht="12.75">
      <c r="A53" s="43" t="s">
        <v>730</v>
      </c>
      <c r="B53" s="30" t="s">
        <v>298</v>
      </c>
      <c r="C53" s="30" t="s">
        <v>330</v>
      </c>
      <c r="D53" s="30" t="s">
        <v>748</v>
      </c>
      <c r="E53" s="47" t="s">
        <v>749</v>
      </c>
    </row>
    <row r="54" spans="1:5" ht="12.75">
      <c r="A54" s="43" t="s">
        <v>687</v>
      </c>
      <c r="B54" s="30" t="s">
        <v>298</v>
      </c>
      <c r="C54" s="30" t="s">
        <v>315</v>
      </c>
      <c r="D54" s="30" t="s">
        <v>750</v>
      </c>
      <c r="E54" s="47" t="s">
        <v>751</v>
      </c>
    </row>
    <row r="56" spans="1:2" ht="14.25">
      <c r="A56" s="44"/>
      <c r="B56" s="45" t="s">
        <v>301</v>
      </c>
    </row>
    <row r="57" spans="1:5" ht="15">
      <c r="A57" s="46" t="s">
        <v>287</v>
      </c>
      <c r="B57" s="46" t="s">
        <v>288</v>
      </c>
      <c r="C57" s="46" t="s">
        <v>289</v>
      </c>
      <c r="D57" s="46" t="s">
        <v>290</v>
      </c>
      <c r="E57" s="46" t="s">
        <v>291</v>
      </c>
    </row>
    <row r="58" spans="1:5" ht="12.75">
      <c r="A58" s="43" t="s">
        <v>736</v>
      </c>
      <c r="B58" s="30" t="s">
        <v>301</v>
      </c>
      <c r="C58" s="30" t="s">
        <v>330</v>
      </c>
      <c r="D58" s="30" t="s">
        <v>752</v>
      </c>
      <c r="E58" s="47" t="s">
        <v>753</v>
      </c>
    </row>
    <row r="59" spans="1:5" ht="12.75">
      <c r="A59" s="43" t="s">
        <v>687</v>
      </c>
      <c r="B59" s="30" t="s">
        <v>301</v>
      </c>
      <c r="C59" s="30" t="s">
        <v>315</v>
      </c>
      <c r="D59" s="30" t="s">
        <v>750</v>
      </c>
      <c r="E59" s="47" t="s">
        <v>751</v>
      </c>
    </row>
    <row r="60" spans="1:5" ht="12.75">
      <c r="A60" s="43" t="s">
        <v>671</v>
      </c>
      <c r="B60" s="30" t="s">
        <v>301</v>
      </c>
      <c r="C60" s="30" t="s">
        <v>318</v>
      </c>
      <c r="D60" s="30" t="s">
        <v>754</v>
      </c>
      <c r="E60" s="47" t="s">
        <v>755</v>
      </c>
    </row>
    <row r="61" spans="1:5" ht="12.75">
      <c r="A61" s="43" t="s">
        <v>677</v>
      </c>
      <c r="B61" s="30" t="s">
        <v>301</v>
      </c>
      <c r="C61" s="30" t="s">
        <v>323</v>
      </c>
      <c r="D61" s="30" t="s">
        <v>756</v>
      </c>
      <c r="E61" s="47" t="s">
        <v>757</v>
      </c>
    </row>
    <row r="62" spans="1:5" ht="12.75">
      <c r="A62" s="43" t="s">
        <v>719</v>
      </c>
      <c r="B62" s="30" t="s">
        <v>301</v>
      </c>
      <c r="C62" s="30" t="s">
        <v>320</v>
      </c>
      <c r="D62" s="30" t="s">
        <v>750</v>
      </c>
      <c r="E62" s="47" t="s">
        <v>758</v>
      </c>
    </row>
    <row r="63" spans="1:5" ht="12.75">
      <c r="A63" s="43" t="s">
        <v>695</v>
      </c>
      <c r="B63" s="30" t="s">
        <v>301</v>
      </c>
      <c r="C63" s="30" t="s">
        <v>315</v>
      </c>
      <c r="D63" s="30" t="s">
        <v>759</v>
      </c>
      <c r="E63" s="47" t="s">
        <v>760</v>
      </c>
    </row>
    <row r="64" spans="1:5" ht="12.75">
      <c r="A64" s="43" t="s">
        <v>699</v>
      </c>
      <c r="B64" s="30" t="s">
        <v>301</v>
      </c>
      <c r="C64" s="30" t="s">
        <v>315</v>
      </c>
      <c r="D64" s="30" t="s">
        <v>761</v>
      </c>
      <c r="E64" s="47" t="s">
        <v>762</v>
      </c>
    </row>
    <row r="65" spans="1:5" ht="12.75">
      <c r="A65" s="43" t="s">
        <v>723</v>
      </c>
      <c r="B65" s="30" t="s">
        <v>301</v>
      </c>
      <c r="C65" s="30" t="s">
        <v>320</v>
      </c>
      <c r="D65" s="30" t="s">
        <v>763</v>
      </c>
      <c r="E65" s="47" t="s">
        <v>764</v>
      </c>
    </row>
    <row r="67" spans="1:2" ht="14.25">
      <c r="A67" s="44"/>
      <c r="B67" s="45" t="s">
        <v>340</v>
      </c>
    </row>
    <row r="68" spans="1:5" ht="15">
      <c r="A68" s="46" t="s">
        <v>287</v>
      </c>
      <c r="B68" s="46" t="s">
        <v>288</v>
      </c>
      <c r="C68" s="46" t="s">
        <v>289</v>
      </c>
      <c r="D68" s="46" t="s">
        <v>290</v>
      </c>
      <c r="E68" s="46" t="s">
        <v>291</v>
      </c>
    </row>
    <row r="69" spans="1:5" ht="12.75">
      <c r="A69" s="43" t="s">
        <v>727</v>
      </c>
      <c r="B69" s="30" t="s">
        <v>341</v>
      </c>
      <c r="C69" s="30" t="s">
        <v>320</v>
      </c>
      <c r="D69" s="30" t="s">
        <v>765</v>
      </c>
      <c r="E69" s="47" t="s">
        <v>766</v>
      </c>
    </row>
    <row r="70" spans="1:5" ht="12.75">
      <c r="A70" s="43" t="s">
        <v>711</v>
      </c>
      <c r="B70" s="30" t="s">
        <v>350</v>
      </c>
      <c r="C70" s="30" t="s">
        <v>315</v>
      </c>
      <c r="D70" s="30" t="s">
        <v>767</v>
      </c>
      <c r="E70" s="47" t="s">
        <v>768</v>
      </c>
    </row>
    <row r="71" spans="1:5" ht="12.75">
      <c r="A71" s="43" t="s">
        <v>742</v>
      </c>
      <c r="B71" s="30" t="s">
        <v>348</v>
      </c>
      <c r="C71" s="30" t="s">
        <v>330</v>
      </c>
      <c r="D71" s="30" t="s">
        <v>769</v>
      </c>
      <c r="E71" s="47" t="s">
        <v>770</v>
      </c>
    </row>
    <row r="72" spans="1:5" ht="12.75">
      <c r="A72" s="43" t="s">
        <v>716</v>
      </c>
      <c r="B72" s="30" t="s">
        <v>346</v>
      </c>
      <c r="C72" s="30" t="s">
        <v>315</v>
      </c>
      <c r="D72" s="30" t="s">
        <v>771</v>
      </c>
      <c r="E72" s="47" t="s">
        <v>772</v>
      </c>
    </row>
    <row r="73" spans="1:5" ht="12.75">
      <c r="A73" s="43" t="s">
        <v>705</v>
      </c>
      <c r="B73" s="30" t="s">
        <v>348</v>
      </c>
      <c r="C73" s="30" t="s">
        <v>315</v>
      </c>
      <c r="D73" s="30" t="s">
        <v>773</v>
      </c>
      <c r="E73" s="47" t="s">
        <v>774</v>
      </c>
    </row>
    <row r="78" spans="1:2" ht="18">
      <c r="A78" s="40" t="s">
        <v>352</v>
      </c>
      <c r="B78" s="40"/>
    </row>
    <row r="79" spans="1:3" ht="15">
      <c r="A79" s="46" t="s">
        <v>353</v>
      </c>
      <c r="B79" s="46" t="s">
        <v>354</v>
      </c>
      <c r="C79" s="46" t="s">
        <v>355</v>
      </c>
    </row>
    <row r="80" spans="1:3" ht="12.75">
      <c r="A80" s="30" t="s">
        <v>26</v>
      </c>
      <c r="B80" s="30" t="s">
        <v>775</v>
      </c>
      <c r="C80" s="30" t="s">
        <v>776</v>
      </c>
    </row>
    <row r="81" spans="1:3" ht="12.75">
      <c r="A81" s="30" t="s">
        <v>690</v>
      </c>
      <c r="B81" s="30" t="s">
        <v>360</v>
      </c>
      <c r="C81" s="30" t="s">
        <v>777</v>
      </c>
    </row>
    <row r="82" spans="1:3" ht="12.75">
      <c r="A82" s="30" t="s">
        <v>399</v>
      </c>
      <c r="B82" s="30" t="s">
        <v>369</v>
      </c>
      <c r="C82" s="30" t="s">
        <v>778</v>
      </c>
    </row>
    <row r="83" spans="1:3" ht="12.75">
      <c r="A83" s="30" t="s">
        <v>745</v>
      </c>
      <c r="B83" s="30" t="s">
        <v>369</v>
      </c>
      <c r="C83" s="30" t="s">
        <v>779</v>
      </c>
    </row>
    <row r="84" spans="1:3" ht="12.75">
      <c r="A84" s="30" t="s">
        <v>708</v>
      </c>
      <c r="B84" s="30" t="s">
        <v>369</v>
      </c>
      <c r="C84" s="30" t="s">
        <v>780</v>
      </c>
    </row>
    <row r="85" spans="1:3" ht="12.75">
      <c r="A85" s="30" t="s">
        <v>674</v>
      </c>
      <c r="B85" s="30" t="s">
        <v>369</v>
      </c>
      <c r="C85" s="30" t="s">
        <v>781</v>
      </c>
    </row>
    <row r="86" spans="1:3" ht="12.75">
      <c r="A86" s="30" t="s">
        <v>733</v>
      </c>
      <c r="B86" s="30" t="s">
        <v>369</v>
      </c>
      <c r="C86" s="30" t="s">
        <v>782</v>
      </c>
    </row>
    <row r="87" spans="1:3" ht="12.75">
      <c r="A87" s="30" t="s">
        <v>130</v>
      </c>
      <c r="B87" s="30" t="s">
        <v>369</v>
      </c>
      <c r="C87" s="30" t="s">
        <v>783</v>
      </c>
    </row>
    <row r="88" spans="1:3" ht="12.75">
      <c r="A88" s="30" t="s">
        <v>272</v>
      </c>
      <c r="B88" s="30" t="s">
        <v>369</v>
      </c>
      <c r="C88" s="30" t="s">
        <v>784</v>
      </c>
    </row>
    <row r="89" spans="1:3" ht="12.75">
      <c r="A89" s="30" t="s">
        <v>680</v>
      </c>
      <c r="B89" s="30" t="s">
        <v>369</v>
      </c>
      <c r="C89" s="30" t="s">
        <v>785</v>
      </c>
    </row>
    <row r="90" spans="1:3" ht="12.75">
      <c r="A90" s="30" t="s">
        <v>68</v>
      </c>
      <c r="B90" s="30" t="s">
        <v>383</v>
      </c>
      <c r="C90" s="30" t="s">
        <v>786</v>
      </c>
    </row>
  </sheetData>
  <sheetProtection/>
  <mergeCells count="19">
    <mergeCell ref="A15:T15"/>
    <mergeCell ref="A25:T25"/>
    <mergeCell ref="A30:T30"/>
    <mergeCell ref="S3:S4"/>
    <mergeCell ref="T3:T4"/>
    <mergeCell ref="U3:U4"/>
    <mergeCell ref="A5:T5"/>
    <mergeCell ref="A8:T8"/>
    <mergeCell ref="A11:T11"/>
    <mergeCell ref="A1:U2"/>
    <mergeCell ref="A3:A4"/>
    <mergeCell ref="B3:B4"/>
    <mergeCell ref="C3:C4"/>
    <mergeCell ref="D3:D4"/>
    <mergeCell ref="E3:E4"/>
    <mergeCell ref="F3:F4"/>
    <mergeCell ref="G3:J3"/>
    <mergeCell ref="K3:N3"/>
    <mergeCell ref="O3:R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M2"/>
    </sheetView>
  </sheetViews>
  <sheetFormatPr defaultColWidth="9.00390625" defaultRowHeight="12.75"/>
  <cols>
    <col min="1" max="1" width="26.00390625" style="30" bestFit="1" customWidth="1"/>
    <col min="2" max="2" width="26.875" style="30" bestFit="1" customWidth="1"/>
    <col min="3" max="3" width="6.875" style="30" bestFit="1" customWidth="1"/>
    <col min="4" max="4" width="10.625" style="30" bestFit="1" customWidth="1"/>
    <col min="5" max="5" width="22.75390625" style="30" bestFit="1" customWidth="1"/>
    <col min="6" max="6" width="28.25390625" style="30" bestFit="1" customWidth="1"/>
    <col min="7" max="9" width="5.625" style="30" bestFit="1" customWidth="1"/>
    <col min="10" max="10" width="4.625" style="30" bestFit="1" customWidth="1"/>
    <col min="11" max="11" width="7.875" style="30" bestFit="1" customWidth="1"/>
    <col min="12" max="12" width="6.625" style="30" bestFit="1" customWidth="1"/>
    <col min="13" max="13" width="8.875" style="30" bestFit="1" customWidth="1"/>
  </cols>
  <sheetData>
    <row r="1" spans="1:13" s="1" customFormat="1" ht="15" customHeight="1">
      <c r="A1" s="48" t="s">
        <v>665</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1</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235</v>
      </c>
      <c r="B5" s="61"/>
      <c r="C5" s="61"/>
      <c r="D5" s="61"/>
      <c r="E5" s="61"/>
      <c r="F5" s="61"/>
      <c r="G5" s="61"/>
      <c r="H5" s="61"/>
      <c r="I5" s="61"/>
      <c r="J5" s="61"/>
      <c r="K5" s="61"/>
      <c r="L5" s="61"/>
    </row>
    <row r="6" spans="1:13" ht="12.75">
      <c r="A6" s="31" t="s">
        <v>475</v>
      </c>
      <c r="B6" s="31" t="s">
        <v>476</v>
      </c>
      <c r="C6" s="31" t="s">
        <v>477</v>
      </c>
      <c r="D6" s="31" t="str">
        <f>"0,5417"</f>
        <v>0,5417</v>
      </c>
      <c r="E6" s="31" t="s">
        <v>68</v>
      </c>
      <c r="F6" s="31" t="s">
        <v>478</v>
      </c>
      <c r="G6" s="32" t="s">
        <v>150</v>
      </c>
      <c r="H6" s="32" t="s">
        <v>150</v>
      </c>
      <c r="I6" s="32" t="s">
        <v>150</v>
      </c>
      <c r="J6" s="32"/>
      <c r="K6" s="31">
        <v>0</v>
      </c>
      <c r="L6" s="31" t="str">
        <f>"0,0000"</f>
        <v>0,0000</v>
      </c>
      <c r="M6" s="31" t="s">
        <v>173</v>
      </c>
    </row>
    <row r="8" spans="5:6" ht="15">
      <c r="E8" s="39" t="s">
        <v>279</v>
      </c>
      <c r="F8" s="41" t="s">
        <v>1935</v>
      </c>
    </row>
    <row r="9" spans="5:6" ht="15">
      <c r="E9" s="39" t="s">
        <v>1940</v>
      </c>
      <c r="F9" s="41" t="s">
        <v>1941</v>
      </c>
    </row>
    <row r="10" spans="5:6" ht="15">
      <c r="E10" s="39" t="s">
        <v>280</v>
      </c>
      <c r="F10" s="41" t="s">
        <v>1936</v>
      </c>
    </row>
    <row r="11" spans="5:6" ht="15">
      <c r="E11" s="39" t="s">
        <v>281</v>
      </c>
      <c r="F11" s="41" t="s">
        <v>1939</v>
      </c>
    </row>
    <row r="12" spans="5:6" ht="15">
      <c r="E12" s="39" t="s">
        <v>282</v>
      </c>
      <c r="F12" s="41" t="s">
        <v>1943</v>
      </c>
    </row>
    <row r="13" spans="5:6" ht="15">
      <c r="E13" s="39" t="s">
        <v>282</v>
      </c>
      <c r="F13" s="41" t="s">
        <v>1944</v>
      </c>
    </row>
    <row r="14" spans="5:6" ht="15">
      <c r="E14" s="39" t="s">
        <v>283</v>
      </c>
      <c r="F14" s="41" t="s">
        <v>1942</v>
      </c>
    </row>
    <row r="15" spans="5:6" ht="15">
      <c r="E15" s="39" t="s">
        <v>1937</v>
      </c>
      <c r="F15" s="41" t="s">
        <v>1938</v>
      </c>
    </row>
    <row r="16" spans="1:2" ht="18">
      <c r="A16" s="40"/>
      <c r="B16" s="40"/>
    </row>
  </sheetData>
  <sheetProtection/>
  <mergeCells count="12">
    <mergeCell ref="A1:M2"/>
    <mergeCell ref="A3:A4"/>
    <mergeCell ref="B3:B4"/>
    <mergeCell ref="C3:C4"/>
    <mergeCell ref="D3:D4"/>
    <mergeCell ref="E3:E4"/>
    <mergeCell ref="F3:F4"/>
    <mergeCell ref="G3:J3"/>
    <mergeCell ref="K3:K4"/>
    <mergeCell ref="L3:L4"/>
    <mergeCell ref="M3:M4"/>
    <mergeCell ref="A5:L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M2"/>
    </sheetView>
  </sheetViews>
  <sheetFormatPr defaultColWidth="9.00390625" defaultRowHeight="12.75"/>
  <cols>
    <col min="1" max="1" width="26.00390625" style="30" bestFit="1" customWidth="1"/>
    <col min="2" max="2" width="26.875" style="30" bestFit="1" customWidth="1"/>
    <col min="3"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11.875" style="30" bestFit="1" customWidth="1"/>
  </cols>
  <sheetData>
    <row r="1" spans="1:13" s="1" customFormat="1" ht="15" customHeight="1">
      <c r="A1" s="48" t="s">
        <v>657</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3</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235</v>
      </c>
      <c r="B5" s="61"/>
      <c r="C5" s="61"/>
      <c r="D5" s="61"/>
      <c r="E5" s="61"/>
      <c r="F5" s="61"/>
      <c r="G5" s="61"/>
      <c r="H5" s="61"/>
      <c r="I5" s="61"/>
      <c r="J5" s="61"/>
      <c r="K5" s="61"/>
      <c r="L5" s="61"/>
    </row>
    <row r="6" spans="1:13" ht="12.75">
      <c r="A6" s="37" t="s">
        <v>475</v>
      </c>
      <c r="B6" s="37" t="s">
        <v>476</v>
      </c>
      <c r="C6" s="37" t="s">
        <v>477</v>
      </c>
      <c r="D6" s="37" t="str">
        <f>"0,5417"</f>
        <v>0,5417</v>
      </c>
      <c r="E6" s="37" t="s">
        <v>68</v>
      </c>
      <c r="F6" s="37" t="s">
        <v>478</v>
      </c>
      <c r="G6" s="37" t="s">
        <v>433</v>
      </c>
      <c r="H6" s="37" t="s">
        <v>146</v>
      </c>
      <c r="I6" s="37" t="s">
        <v>219</v>
      </c>
      <c r="J6" s="38"/>
      <c r="K6" s="37">
        <v>207.5</v>
      </c>
      <c r="L6" s="37" t="str">
        <f>"155,1158"</f>
        <v>155,1158</v>
      </c>
      <c r="M6" s="37" t="s">
        <v>173</v>
      </c>
    </row>
    <row r="8" spans="5:6" ht="15">
      <c r="E8" s="39" t="s">
        <v>279</v>
      </c>
      <c r="F8" s="41" t="s">
        <v>1935</v>
      </c>
    </row>
    <row r="9" spans="5:6" ht="15">
      <c r="E9" s="39" t="s">
        <v>1940</v>
      </c>
      <c r="F9" s="41" t="s">
        <v>1941</v>
      </c>
    </row>
    <row r="10" spans="5:6" ht="15">
      <c r="E10" s="39" t="s">
        <v>280</v>
      </c>
      <c r="F10" s="41" t="s">
        <v>1936</v>
      </c>
    </row>
    <row r="11" spans="5:6" ht="15">
      <c r="E11" s="39" t="s">
        <v>281</v>
      </c>
      <c r="F11" s="41" t="s">
        <v>1939</v>
      </c>
    </row>
    <row r="12" spans="5:6" ht="15">
      <c r="E12" s="39" t="s">
        <v>282</v>
      </c>
      <c r="F12" s="41" t="s">
        <v>1943</v>
      </c>
    </row>
    <row r="13" spans="5:6" ht="15">
      <c r="E13" s="39" t="s">
        <v>282</v>
      </c>
      <c r="F13" s="41" t="s">
        <v>1944</v>
      </c>
    </row>
    <row r="14" spans="5:6" ht="15">
      <c r="E14" s="39" t="s">
        <v>283</v>
      </c>
      <c r="F14" s="41" t="s">
        <v>1942</v>
      </c>
    </row>
    <row r="15" spans="5:6" ht="15">
      <c r="E15" s="39" t="s">
        <v>1937</v>
      </c>
      <c r="F15" s="41" t="s">
        <v>1938</v>
      </c>
    </row>
    <row r="16" spans="1:2" ht="18">
      <c r="A16" s="40" t="s">
        <v>284</v>
      </c>
      <c r="B16" s="40"/>
    </row>
    <row r="17" spans="1:2" ht="15">
      <c r="A17" s="42" t="s">
        <v>312</v>
      </c>
      <c r="B17" s="42"/>
    </row>
    <row r="18" spans="1:2" ht="14.25">
      <c r="A18" s="44"/>
      <c r="B18" s="45" t="s">
        <v>340</v>
      </c>
    </row>
    <row r="19" spans="1:5" ht="15">
      <c r="A19" s="46" t="s">
        <v>287</v>
      </c>
      <c r="B19" s="46" t="s">
        <v>288</v>
      </c>
      <c r="C19" s="46" t="s">
        <v>289</v>
      </c>
      <c r="D19" s="46" t="s">
        <v>290</v>
      </c>
      <c r="E19" s="46" t="s">
        <v>291</v>
      </c>
    </row>
    <row r="20" spans="1:5" ht="12.75">
      <c r="A20" s="43" t="s">
        <v>658</v>
      </c>
      <c r="B20" s="30" t="s">
        <v>350</v>
      </c>
      <c r="C20" s="30" t="s">
        <v>320</v>
      </c>
      <c r="D20" s="30" t="s">
        <v>661</v>
      </c>
      <c r="E20" s="47" t="s">
        <v>663</v>
      </c>
    </row>
    <row r="21" spans="1:5" ht="12.75">
      <c r="A21" s="43" t="s">
        <v>475</v>
      </c>
      <c r="B21" s="30" t="s">
        <v>651</v>
      </c>
      <c r="C21" s="30" t="s">
        <v>320</v>
      </c>
      <c r="D21" s="30" t="s">
        <v>219</v>
      </c>
      <c r="E21" s="47" t="s">
        <v>664</v>
      </c>
    </row>
  </sheetData>
  <sheetProtection/>
  <mergeCells count="12">
    <mergeCell ref="A1:M2"/>
    <mergeCell ref="A3:A4"/>
    <mergeCell ref="B3:B4"/>
    <mergeCell ref="C3:C4"/>
    <mergeCell ref="D3:D4"/>
    <mergeCell ref="E3:E4"/>
    <mergeCell ref="F3:F4"/>
    <mergeCell ref="G3:J3"/>
    <mergeCell ref="K3:K4"/>
    <mergeCell ref="L3:L4"/>
    <mergeCell ref="M3:M4"/>
    <mergeCell ref="A5:L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2"/>
  <sheetViews>
    <sheetView zoomScalePageLayoutView="0" workbookViewId="0" topLeftCell="A1">
      <selection activeCell="A1" sqref="A1:M2"/>
    </sheetView>
  </sheetViews>
  <sheetFormatPr defaultColWidth="9.00390625" defaultRowHeight="12.75"/>
  <cols>
    <col min="1" max="1" width="26.00390625" style="30" bestFit="1" customWidth="1"/>
    <col min="2" max="2" width="26.875" style="30" bestFit="1" customWidth="1"/>
    <col min="3"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15.375" style="30" bestFit="1" customWidth="1"/>
  </cols>
  <sheetData>
    <row r="1" spans="1:13" s="1" customFormat="1" ht="15" customHeight="1">
      <c r="A1" s="48" t="s">
        <v>513</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2</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14</v>
      </c>
      <c r="B5" s="61"/>
      <c r="C5" s="61"/>
      <c r="D5" s="61"/>
      <c r="E5" s="61"/>
      <c r="F5" s="61"/>
      <c r="G5" s="61"/>
      <c r="H5" s="61"/>
      <c r="I5" s="61"/>
      <c r="J5" s="61"/>
      <c r="K5" s="61"/>
      <c r="L5" s="61"/>
    </row>
    <row r="6" spans="1:13" ht="12.75">
      <c r="A6" s="31" t="s">
        <v>514</v>
      </c>
      <c r="B6" s="31" t="s">
        <v>515</v>
      </c>
      <c r="C6" s="31" t="s">
        <v>516</v>
      </c>
      <c r="D6" s="31" t="str">
        <f>"1,1344"</f>
        <v>1,1344</v>
      </c>
      <c r="E6" s="31" t="s">
        <v>26</v>
      </c>
      <c r="F6" s="31" t="s">
        <v>27</v>
      </c>
      <c r="G6" s="31" t="s">
        <v>517</v>
      </c>
      <c r="H6" s="31" t="s">
        <v>392</v>
      </c>
      <c r="I6" s="32" t="s">
        <v>518</v>
      </c>
      <c r="J6" s="32"/>
      <c r="K6" s="31">
        <v>35</v>
      </c>
      <c r="L6" s="31" t="str">
        <f>"39,7040"</f>
        <v>39,7040</v>
      </c>
      <c r="M6" s="31" t="s">
        <v>173</v>
      </c>
    </row>
    <row r="8" spans="1:12" ht="15">
      <c r="A8" s="62" t="s">
        <v>33</v>
      </c>
      <c r="B8" s="62"/>
      <c r="C8" s="62"/>
      <c r="D8" s="62"/>
      <c r="E8" s="62"/>
      <c r="F8" s="62"/>
      <c r="G8" s="62"/>
      <c r="H8" s="62"/>
      <c r="I8" s="62"/>
      <c r="J8" s="62"/>
      <c r="K8" s="62"/>
      <c r="L8" s="62"/>
    </row>
    <row r="9" spans="1:13" ht="12.75">
      <c r="A9" s="31" t="s">
        <v>519</v>
      </c>
      <c r="B9" s="31" t="s">
        <v>520</v>
      </c>
      <c r="C9" s="31" t="s">
        <v>521</v>
      </c>
      <c r="D9" s="31" t="str">
        <f>"1,0450"</f>
        <v>1,0450</v>
      </c>
      <c r="E9" s="31" t="s">
        <v>522</v>
      </c>
      <c r="F9" s="31" t="s">
        <v>523</v>
      </c>
      <c r="G9" s="31" t="s">
        <v>392</v>
      </c>
      <c r="H9" s="31" t="s">
        <v>402</v>
      </c>
      <c r="I9" s="31" t="s">
        <v>524</v>
      </c>
      <c r="J9" s="32"/>
      <c r="K9" s="31">
        <v>42.5</v>
      </c>
      <c r="L9" s="31" t="str">
        <f>"45,2986"</f>
        <v>45,2986</v>
      </c>
      <c r="M9" s="31" t="s">
        <v>173</v>
      </c>
    </row>
    <row r="11" spans="1:12" ht="15">
      <c r="A11" s="62" t="s">
        <v>50</v>
      </c>
      <c r="B11" s="62"/>
      <c r="C11" s="62"/>
      <c r="D11" s="62"/>
      <c r="E11" s="62"/>
      <c r="F11" s="62"/>
      <c r="G11" s="62"/>
      <c r="H11" s="62"/>
      <c r="I11" s="62"/>
      <c r="J11" s="62"/>
      <c r="K11" s="62"/>
      <c r="L11" s="62"/>
    </row>
    <row r="12" spans="1:13" ht="12.75">
      <c r="A12" s="31" t="s">
        <v>525</v>
      </c>
      <c r="B12" s="31" t="s">
        <v>526</v>
      </c>
      <c r="C12" s="31" t="s">
        <v>527</v>
      </c>
      <c r="D12" s="31" t="str">
        <f>"1,0173"</f>
        <v>1,0173</v>
      </c>
      <c r="E12" s="31" t="s">
        <v>26</v>
      </c>
      <c r="F12" s="31" t="s">
        <v>27</v>
      </c>
      <c r="G12" s="31" t="s">
        <v>393</v>
      </c>
      <c r="H12" s="32" t="s">
        <v>407</v>
      </c>
      <c r="I12" s="32" t="s">
        <v>407</v>
      </c>
      <c r="J12" s="32"/>
      <c r="K12" s="31">
        <v>45</v>
      </c>
      <c r="L12" s="31" t="str">
        <f>"45,7807"</f>
        <v>45,7807</v>
      </c>
      <c r="M12" s="31" t="s">
        <v>173</v>
      </c>
    </row>
    <row r="14" spans="1:12" ht="15">
      <c r="A14" s="62" t="s">
        <v>50</v>
      </c>
      <c r="B14" s="62"/>
      <c r="C14" s="62"/>
      <c r="D14" s="62"/>
      <c r="E14" s="62"/>
      <c r="F14" s="62"/>
      <c r="G14" s="62"/>
      <c r="H14" s="62"/>
      <c r="I14" s="62"/>
      <c r="J14" s="62"/>
      <c r="K14" s="62"/>
      <c r="L14" s="62"/>
    </row>
    <row r="15" spans="1:13" ht="12.75">
      <c r="A15" s="33" t="s">
        <v>528</v>
      </c>
      <c r="B15" s="33" t="s">
        <v>529</v>
      </c>
      <c r="C15" s="33" t="s">
        <v>530</v>
      </c>
      <c r="D15" s="33" t="str">
        <f>"0,9515"</f>
        <v>0,9515</v>
      </c>
      <c r="E15" s="33" t="s">
        <v>112</v>
      </c>
      <c r="F15" s="33" t="s">
        <v>523</v>
      </c>
      <c r="G15" s="33" t="s">
        <v>391</v>
      </c>
      <c r="H15" s="33" t="s">
        <v>395</v>
      </c>
      <c r="I15" s="33" t="s">
        <v>69</v>
      </c>
      <c r="J15" s="34"/>
      <c r="K15" s="33">
        <v>80</v>
      </c>
      <c r="L15" s="33" t="str">
        <f>"89,8216"</f>
        <v>89,8216</v>
      </c>
      <c r="M15" s="33" t="s">
        <v>173</v>
      </c>
    </row>
    <row r="16" spans="1:13" ht="12.75">
      <c r="A16" s="35" t="s">
        <v>531</v>
      </c>
      <c r="B16" s="35" t="s">
        <v>532</v>
      </c>
      <c r="C16" s="35" t="s">
        <v>533</v>
      </c>
      <c r="D16" s="35" t="str">
        <f>"1,0469"</f>
        <v>1,0469</v>
      </c>
      <c r="E16" s="35" t="s">
        <v>522</v>
      </c>
      <c r="F16" s="35" t="s">
        <v>523</v>
      </c>
      <c r="G16" s="35" t="s">
        <v>407</v>
      </c>
      <c r="H16" s="35" t="s">
        <v>400</v>
      </c>
      <c r="I16" s="36" t="s">
        <v>390</v>
      </c>
      <c r="J16" s="36"/>
      <c r="K16" s="35">
        <v>55</v>
      </c>
      <c r="L16" s="35" t="str">
        <f>"59,3069"</f>
        <v>59,3069</v>
      </c>
      <c r="M16" s="35" t="s">
        <v>173</v>
      </c>
    </row>
    <row r="17" spans="1:13" ht="12.75">
      <c r="A17" s="35" t="s">
        <v>534</v>
      </c>
      <c r="B17" s="35" t="s">
        <v>535</v>
      </c>
      <c r="C17" s="35" t="s">
        <v>536</v>
      </c>
      <c r="D17" s="35" t="str">
        <f>"1,0686"</f>
        <v>1,0686</v>
      </c>
      <c r="E17" s="35" t="s">
        <v>413</v>
      </c>
      <c r="F17" s="35" t="s">
        <v>27</v>
      </c>
      <c r="G17" s="35" t="s">
        <v>395</v>
      </c>
      <c r="H17" s="35" t="s">
        <v>69</v>
      </c>
      <c r="I17" s="36" t="s">
        <v>20</v>
      </c>
      <c r="J17" s="36"/>
      <c r="K17" s="35">
        <v>80</v>
      </c>
      <c r="L17" s="35" t="str">
        <f>"85,4880"</f>
        <v>85,4880</v>
      </c>
      <c r="M17" s="35" t="s">
        <v>173</v>
      </c>
    </row>
    <row r="18" spans="1:13" ht="12.75">
      <c r="A18" s="37" t="s">
        <v>537</v>
      </c>
      <c r="B18" s="37" t="s">
        <v>538</v>
      </c>
      <c r="C18" s="37" t="s">
        <v>539</v>
      </c>
      <c r="D18" s="37" t="str">
        <f>"0,9966"</f>
        <v>0,9966</v>
      </c>
      <c r="E18" s="37" t="s">
        <v>68</v>
      </c>
      <c r="F18" s="37" t="s">
        <v>540</v>
      </c>
      <c r="G18" s="38" t="s">
        <v>401</v>
      </c>
      <c r="H18" s="37" t="s">
        <v>401</v>
      </c>
      <c r="I18" s="38" t="s">
        <v>391</v>
      </c>
      <c r="J18" s="38"/>
      <c r="K18" s="37">
        <v>67.5</v>
      </c>
      <c r="L18" s="37" t="str">
        <f>"67,2705"</f>
        <v>67,2705</v>
      </c>
      <c r="M18" s="37" t="s">
        <v>173</v>
      </c>
    </row>
    <row r="20" spans="1:12" ht="15">
      <c r="A20" s="62" t="s">
        <v>73</v>
      </c>
      <c r="B20" s="62"/>
      <c r="C20" s="62"/>
      <c r="D20" s="62"/>
      <c r="E20" s="62"/>
      <c r="F20" s="62"/>
      <c r="G20" s="62"/>
      <c r="H20" s="62"/>
      <c r="I20" s="62"/>
      <c r="J20" s="62"/>
      <c r="K20" s="62"/>
      <c r="L20" s="62"/>
    </row>
    <row r="21" spans="1:13" ht="12.75">
      <c r="A21" s="33" t="s">
        <v>541</v>
      </c>
      <c r="B21" s="33" t="s">
        <v>542</v>
      </c>
      <c r="C21" s="33" t="s">
        <v>104</v>
      </c>
      <c r="D21" s="33" t="str">
        <f>"0,8835"</f>
        <v>0,8835</v>
      </c>
      <c r="E21" s="33" t="s">
        <v>68</v>
      </c>
      <c r="F21" s="33" t="s">
        <v>27</v>
      </c>
      <c r="G21" s="34" t="s">
        <v>414</v>
      </c>
      <c r="H21" s="33" t="s">
        <v>414</v>
      </c>
      <c r="I21" s="34" t="s">
        <v>122</v>
      </c>
      <c r="J21" s="34"/>
      <c r="K21" s="33">
        <v>97.5</v>
      </c>
      <c r="L21" s="33" t="str">
        <f>"88,7255"</f>
        <v>88,7255</v>
      </c>
      <c r="M21" s="33" t="s">
        <v>173</v>
      </c>
    </row>
    <row r="22" spans="1:13" ht="12.75">
      <c r="A22" s="37" t="s">
        <v>543</v>
      </c>
      <c r="B22" s="37" t="s">
        <v>544</v>
      </c>
      <c r="C22" s="37" t="s">
        <v>545</v>
      </c>
      <c r="D22" s="37" t="str">
        <f>"0,8979"</f>
        <v>0,8979</v>
      </c>
      <c r="E22" s="37" t="s">
        <v>68</v>
      </c>
      <c r="F22" s="37" t="s">
        <v>523</v>
      </c>
      <c r="G22" s="37" t="s">
        <v>400</v>
      </c>
      <c r="H22" s="37" t="s">
        <v>390</v>
      </c>
      <c r="I22" s="38" t="s">
        <v>409</v>
      </c>
      <c r="J22" s="38"/>
      <c r="K22" s="37">
        <v>60</v>
      </c>
      <c r="L22" s="37" t="str">
        <f>"54,4127"</f>
        <v>54,4127</v>
      </c>
      <c r="M22" s="37" t="s">
        <v>173</v>
      </c>
    </row>
    <row r="24" spans="1:12" ht="15">
      <c r="A24" s="62" t="s">
        <v>83</v>
      </c>
      <c r="B24" s="62"/>
      <c r="C24" s="62"/>
      <c r="D24" s="62"/>
      <c r="E24" s="62"/>
      <c r="F24" s="62"/>
      <c r="G24" s="62"/>
      <c r="H24" s="62"/>
      <c r="I24" s="62"/>
      <c r="J24" s="62"/>
      <c r="K24" s="62"/>
      <c r="L24" s="62"/>
    </row>
    <row r="25" spans="1:13" ht="12.75">
      <c r="A25" s="33" t="s">
        <v>546</v>
      </c>
      <c r="B25" s="33" t="s">
        <v>547</v>
      </c>
      <c r="C25" s="33" t="s">
        <v>548</v>
      </c>
      <c r="D25" s="33" t="str">
        <f>"0,8316"</f>
        <v>0,8316</v>
      </c>
      <c r="E25" s="33" t="s">
        <v>413</v>
      </c>
      <c r="F25" s="33" t="s">
        <v>27</v>
      </c>
      <c r="G25" s="33" t="s">
        <v>428</v>
      </c>
      <c r="H25" s="33" t="s">
        <v>28</v>
      </c>
      <c r="I25" s="34" t="s">
        <v>29</v>
      </c>
      <c r="J25" s="34"/>
      <c r="K25" s="33">
        <v>100</v>
      </c>
      <c r="L25" s="33" t="str">
        <f>"83,1600"</f>
        <v>83,1600</v>
      </c>
      <c r="M25" s="33" t="s">
        <v>173</v>
      </c>
    </row>
    <row r="26" spans="1:13" ht="12.75">
      <c r="A26" s="35" t="s">
        <v>549</v>
      </c>
      <c r="B26" s="35" t="s">
        <v>550</v>
      </c>
      <c r="C26" s="35" t="s">
        <v>551</v>
      </c>
      <c r="D26" s="35" t="str">
        <f>"0,8271"</f>
        <v>0,8271</v>
      </c>
      <c r="E26" s="35" t="s">
        <v>522</v>
      </c>
      <c r="F26" s="35" t="s">
        <v>523</v>
      </c>
      <c r="G26" s="35" t="s">
        <v>80</v>
      </c>
      <c r="H26" s="35" t="s">
        <v>99</v>
      </c>
      <c r="I26" s="36" t="s">
        <v>552</v>
      </c>
      <c r="J26" s="36"/>
      <c r="K26" s="35">
        <v>125</v>
      </c>
      <c r="L26" s="35" t="str">
        <f>"103,3875"</f>
        <v>103,3875</v>
      </c>
      <c r="M26" s="35" t="s">
        <v>173</v>
      </c>
    </row>
    <row r="27" spans="1:13" ht="12.75">
      <c r="A27" s="35" t="s">
        <v>553</v>
      </c>
      <c r="B27" s="35" t="s">
        <v>554</v>
      </c>
      <c r="C27" s="35" t="s">
        <v>555</v>
      </c>
      <c r="D27" s="35" t="str">
        <f>"0,8422"</f>
        <v>0,8422</v>
      </c>
      <c r="E27" s="35" t="s">
        <v>68</v>
      </c>
      <c r="F27" s="35" t="s">
        <v>540</v>
      </c>
      <c r="G27" s="35" t="s">
        <v>69</v>
      </c>
      <c r="H27" s="35" t="s">
        <v>70</v>
      </c>
      <c r="I27" s="35" t="s">
        <v>28</v>
      </c>
      <c r="J27" s="36"/>
      <c r="K27" s="35">
        <v>100</v>
      </c>
      <c r="L27" s="35" t="str">
        <f>"84,2200"</f>
        <v>84,2200</v>
      </c>
      <c r="M27" s="35" t="s">
        <v>173</v>
      </c>
    </row>
    <row r="28" spans="1:13" ht="12.75">
      <c r="A28" s="35" t="s">
        <v>556</v>
      </c>
      <c r="B28" s="35" t="s">
        <v>557</v>
      </c>
      <c r="C28" s="35" t="s">
        <v>558</v>
      </c>
      <c r="D28" s="35" t="str">
        <f>"0,8213"</f>
        <v>0,8213</v>
      </c>
      <c r="E28" s="35" t="s">
        <v>559</v>
      </c>
      <c r="F28" s="35" t="s">
        <v>540</v>
      </c>
      <c r="G28" s="35" t="s">
        <v>401</v>
      </c>
      <c r="H28" s="35" t="s">
        <v>395</v>
      </c>
      <c r="I28" s="35" t="s">
        <v>417</v>
      </c>
      <c r="J28" s="36"/>
      <c r="K28" s="35">
        <v>77.5</v>
      </c>
      <c r="L28" s="35" t="str">
        <f>"63,6508"</f>
        <v>63,6508</v>
      </c>
      <c r="M28" s="35" t="s">
        <v>173</v>
      </c>
    </row>
    <row r="29" spans="1:13" ht="12.75">
      <c r="A29" s="35" t="s">
        <v>560</v>
      </c>
      <c r="B29" s="35" t="s">
        <v>561</v>
      </c>
      <c r="C29" s="35" t="s">
        <v>562</v>
      </c>
      <c r="D29" s="35" t="str">
        <f>"0,8437"</f>
        <v>0,8437</v>
      </c>
      <c r="E29" s="35" t="s">
        <v>413</v>
      </c>
      <c r="F29" s="35" t="s">
        <v>27</v>
      </c>
      <c r="G29" s="35" t="s">
        <v>563</v>
      </c>
      <c r="H29" s="35" t="s">
        <v>408</v>
      </c>
      <c r="I29" s="35" t="s">
        <v>390</v>
      </c>
      <c r="J29" s="36"/>
      <c r="K29" s="35">
        <v>60</v>
      </c>
      <c r="L29" s="35" t="str">
        <f>"50,6220"</f>
        <v>50,6220</v>
      </c>
      <c r="M29" s="35" t="s">
        <v>173</v>
      </c>
    </row>
    <row r="30" spans="1:13" ht="12.75">
      <c r="A30" s="37" t="s">
        <v>564</v>
      </c>
      <c r="B30" s="37" t="s">
        <v>565</v>
      </c>
      <c r="C30" s="37" t="s">
        <v>566</v>
      </c>
      <c r="D30" s="37" t="str">
        <f>"0,8476"</f>
        <v>0,8476</v>
      </c>
      <c r="E30" s="37" t="s">
        <v>559</v>
      </c>
      <c r="F30" s="37" t="s">
        <v>540</v>
      </c>
      <c r="G30" s="37" t="s">
        <v>563</v>
      </c>
      <c r="H30" s="38" t="s">
        <v>400</v>
      </c>
      <c r="I30" s="37" t="s">
        <v>400</v>
      </c>
      <c r="J30" s="38"/>
      <c r="K30" s="37">
        <v>55</v>
      </c>
      <c r="L30" s="37" t="str">
        <f>"47,0376"</f>
        <v>47,0376</v>
      </c>
      <c r="M30" s="37" t="s">
        <v>173</v>
      </c>
    </row>
    <row r="32" spans="1:12" ht="15">
      <c r="A32" s="62" t="s">
        <v>93</v>
      </c>
      <c r="B32" s="62"/>
      <c r="C32" s="62"/>
      <c r="D32" s="62"/>
      <c r="E32" s="62"/>
      <c r="F32" s="62"/>
      <c r="G32" s="62"/>
      <c r="H32" s="62"/>
      <c r="I32" s="62"/>
      <c r="J32" s="62"/>
      <c r="K32" s="62"/>
      <c r="L32" s="62"/>
    </row>
    <row r="33" spans="1:13" ht="12.75">
      <c r="A33" s="33" t="s">
        <v>567</v>
      </c>
      <c r="B33" s="33" t="s">
        <v>568</v>
      </c>
      <c r="C33" s="33" t="s">
        <v>569</v>
      </c>
      <c r="D33" s="33" t="str">
        <f>"0,7408"</f>
        <v>0,7408</v>
      </c>
      <c r="E33" s="33" t="s">
        <v>413</v>
      </c>
      <c r="F33" s="33" t="s">
        <v>27</v>
      </c>
      <c r="G33" s="33" t="s">
        <v>391</v>
      </c>
      <c r="H33" s="34" t="s">
        <v>395</v>
      </c>
      <c r="I33" s="34" t="s">
        <v>395</v>
      </c>
      <c r="J33" s="34"/>
      <c r="K33" s="33">
        <v>70</v>
      </c>
      <c r="L33" s="33" t="str">
        <f>"52,3746"</f>
        <v>52,3746</v>
      </c>
      <c r="M33" s="33" t="s">
        <v>173</v>
      </c>
    </row>
    <row r="34" spans="1:13" ht="12.75">
      <c r="A34" s="35" t="s">
        <v>570</v>
      </c>
      <c r="B34" s="35" t="s">
        <v>571</v>
      </c>
      <c r="C34" s="35" t="s">
        <v>572</v>
      </c>
      <c r="D34" s="35" t="str">
        <f>"0,8000"</f>
        <v>0,8000</v>
      </c>
      <c r="E34" s="35" t="s">
        <v>413</v>
      </c>
      <c r="F34" s="35" t="s">
        <v>27</v>
      </c>
      <c r="G34" s="35" t="s">
        <v>407</v>
      </c>
      <c r="H34" s="35" t="s">
        <v>400</v>
      </c>
      <c r="I34" s="36" t="s">
        <v>390</v>
      </c>
      <c r="J34" s="36"/>
      <c r="K34" s="35">
        <v>55</v>
      </c>
      <c r="L34" s="35" t="str">
        <f>"44,8772"</f>
        <v>44,8772</v>
      </c>
      <c r="M34" s="35" t="s">
        <v>173</v>
      </c>
    </row>
    <row r="35" spans="1:13" ht="12.75">
      <c r="A35" s="35" t="s">
        <v>573</v>
      </c>
      <c r="B35" s="35" t="s">
        <v>574</v>
      </c>
      <c r="C35" s="35" t="s">
        <v>575</v>
      </c>
      <c r="D35" s="35" t="str">
        <f>"0,7530"</f>
        <v>0,7530</v>
      </c>
      <c r="E35" s="35" t="s">
        <v>26</v>
      </c>
      <c r="F35" s="35" t="s">
        <v>27</v>
      </c>
      <c r="G35" s="35" t="s">
        <v>576</v>
      </c>
      <c r="H35" s="35" t="s">
        <v>577</v>
      </c>
      <c r="I35" s="35" t="s">
        <v>578</v>
      </c>
      <c r="J35" s="36"/>
      <c r="K35" s="35">
        <v>27.5</v>
      </c>
      <c r="L35" s="35" t="str">
        <f>"20,7061"</f>
        <v>20,7061</v>
      </c>
      <c r="M35" s="35" t="s">
        <v>579</v>
      </c>
    </row>
    <row r="36" spans="1:13" ht="12.75">
      <c r="A36" s="37" t="s">
        <v>580</v>
      </c>
      <c r="B36" s="37" t="s">
        <v>581</v>
      </c>
      <c r="C36" s="37" t="s">
        <v>582</v>
      </c>
      <c r="D36" s="37" t="str">
        <f>"0,7747"</f>
        <v>0,7747</v>
      </c>
      <c r="E36" s="37" t="s">
        <v>68</v>
      </c>
      <c r="F36" s="37" t="s">
        <v>583</v>
      </c>
      <c r="G36" s="37" t="s">
        <v>408</v>
      </c>
      <c r="H36" s="37" t="s">
        <v>409</v>
      </c>
      <c r="I36" s="38" t="s">
        <v>394</v>
      </c>
      <c r="J36" s="38"/>
      <c r="K36" s="37">
        <v>62.5</v>
      </c>
      <c r="L36" s="37" t="str">
        <f>"49,2903"</f>
        <v>49,2903</v>
      </c>
      <c r="M36" s="37" t="s">
        <v>173</v>
      </c>
    </row>
    <row r="38" spans="1:12" ht="15">
      <c r="A38" s="62" t="s">
        <v>108</v>
      </c>
      <c r="B38" s="62"/>
      <c r="C38" s="62"/>
      <c r="D38" s="62"/>
      <c r="E38" s="62"/>
      <c r="F38" s="62"/>
      <c r="G38" s="62"/>
      <c r="H38" s="62"/>
      <c r="I38" s="62"/>
      <c r="J38" s="62"/>
      <c r="K38" s="62"/>
      <c r="L38" s="62"/>
    </row>
    <row r="39" spans="1:13" ht="12.75">
      <c r="A39" s="33" t="s">
        <v>584</v>
      </c>
      <c r="B39" s="33" t="s">
        <v>585</v>
      </c>
      <c r="C39" s="33" t="s">
        <v>586</v>
      </c>
      <c r="D39" s="33" t="str">
        <f>"0,6694"</f>
        <v>0,6694</v>
      </c>
      <c r="E39" s="33" t="s">
        <v>68</v>
      </c>
      <c r="F39" s="33" t="s">
        <v>523</v>
      </c>
      <c r="G39" s="33" t="s">
        <v>402</v>
      </c>
      <c r="H39" s="34" t="s">
        <v>393</v>
      </c>
      <c r="I39" s="34" t="s">
        <v>393</v>
      </c>
      <c r="J39" s="34"/>
      <c r="K39" s="33">
        <v>40</v>
      </c>
      <c r="L39" s="33" t="str">
        <f>"27,8470"</f>
        <v>27,8470</v>
      </c>
      <c r="M39" s="33" t="s">
        <v>173</v>
      </c>
    </row>
    <row r="40" spans="1:13" ht="12.75">
      <c r="A40" s="35" t="s">
        <v>587</v>
      </c>
      <c r="B40" s="35" t="s">
        <v>588</v>
      </c>
      <c r="C40" s="35" t="s">
        <v>589</v>
      </c>
      <c r="D40" s="35" t="str">
        <f>"0,7164"</f>
        <v>0,7164</v>
      </c>
      <c r="E40" s="35" t="s">
        <v>413</v>
      </c>
      <c r="F40" s="35" t="s">
        <v>27</v>
      </c>
      <c r="G40" s="35" t="s">
        <v>590</v>
      </c>
      <c r="H40" s="35" t="s">
        <v>20</v>
      </c>
      <c r="I40" s="36" t="s">
        <v>453</v>
      </c>
      <c r="J40" s="36"/>
      <c r="K40" s="35">
        <v>85</v>
      </c>
      <c r="L40" s="35" t="str">
        <f>"60,8940"</f>
        <v>60,8940</v>
      </c>
      <c r="M40" s="35" t="s">
        <v>173</v>
      </c>
    </row>
    <row r="41" spans="1:13" ht="12.75">
      <c r="A41" s="37" t="s">
        <v>591</v>
      </c>
      <c r="B41" s="37" t="s">
        <v>592</v>
      </c>
      <c r="C41" s="37" t="s">
        <v>593</v>
      </c>
      <c r="D41" s="37" t="str">
        <f>"0,7014"</f>
        <v>0,7014</v>
      </c>
      <c r="E41" s="37" t="s">
        <v>413</v>
      </c>
      <c r="F41" s="37" t="s">
        <v>27</v>
      </c>
      <c r="G41" s="37" t="s">
        <v>408</v>
      </c>
      <c r="H41" s="37" t="s">
        <v>409</v>
      </c>
      <c r="I41" s="38" t="s">
        <v>394</v>
      </c>
      <c r="J41" s="38"/>
      <c r="K41" s="37">
        <v>62.5</v>
      </c>
      <c r="L41" s="37" t="str">
        <f>"43,8375"</f>
        <v>43,8375</v>
      </c>
      <c r="M41" s="37" t="s">
        <v>173</v>
      </c>
    </row>
    <row r="43" spans="1:12" ht="15">
      <c r="A43" s="62" t="s">
        <v>152</v>
      </c>
      <c r="B43" s="62"/>
      <c r="C43" s="62"/>
      <c r="D43" s="62"/>
      <c r="E43" s="62"/>
      <c r="F43" s="62"/>
      <c r="G43" s="62"/>
      <c r="H43" s="62"/>
      <c r="I43" s="62"/>
      <c r="J43" s="62"/>
      <c r="K43" s="62"/>
      <c r="L43" s="62"/>
    </row>
    <row r="44" spans="1:13" ht="12.75">
      <c r="A44" s="33" t="s">
        <v>594</v>
      </c>
      <c r="B44" s="33" t="s">
        <v>595</v>
      </c>
      <c r="C44" s="33" t="s">
        <v>596</v>
      </c>
      <c r="D44" s="33" t="str">
        <f>"0,6254"</f>
        <v>0,6254</v>
      </c>
      <c r="E44" s="33" t="s">
        <v>413</v>
      </c>
      <c r="F44" s="33" t="s">
        <v>27</v>
      </c>
      <c r="G44" s="33" t="s">
        <v>39</v>
      </c>
      <c r="H44" s="33" t="s">
        <v>80</v>
      </c>
      <c r="I44" s="34" t="s">
        <v>99</v>
      </c>
      <c r="J44" s="34"/>
      <c r="K44" s="33">
        <v>122.5</v>
      </c>
      <c r="L44" s="33" t="str">
        <f>"76,6115"</f>
        <v>76,6115</v>
      </c>
      <c r="M44" s="33" t="s">
        <v>173</v>
      </c>
    </row>
    <row r="45" spans="1:13" ht="12.75">
      <c r="A45" s="37" t="s">
        <v>597</v>
      </c>
      <c r="B45" s="37" t="s">
        <v>598</v>
      </c>
      <c r="C45" s="37" t="s">
        <v>599</v>
      </c>
      <c r="D45" s="37" t="str">
        <f>"0,6583"</f>
        <v>0,6583</v>
      </c>
      <c r="E45" s="37" t="s">
        <v>413</v>
      </c>
      <c r="F45" s="37" t="s">
        <v>27</v>
      </c>
      <c r="G45" s="38" t="s">
        <v>428</v>
      </c>
      <c r="H45" s="38"/>
      <c r="I45" s="38"/>
      <c r="J45" s="38"/>
      <c r="K45" s="37">
        <v>0</v>
      </c>
      <c r="L45" s="37" t="str">
        <f>"0,0000"</f>
        <v>0,0000</v>
      </c>
      <c r="M45" s="37" t="s">
        <v>173</v>
      </c>
    </row>
    <row r="47" spans="1:12" ht="15">
      <c r="A47" s="62" t="s">
        <v>178</v>
      </c>
      <c r="B47" s="62"/>
      <c r="C47" s="62"/>
      <c r="D47" s="62"/>
      <c r="E47" s="62"/>
      <c r="F47" s="62"/>
      <c r="G47" s="62"/>
      <c r="H47" s="62"/>
      <c r="I47" s="62"/>
      <c r="J47" s="62"/>
      <c r="K47" s="62"/>
      <c r="L47" s="62"/>
    </row>
    <row r="48" spans="1:13" ht="12.75">
      <c r="A48" s="31" t="s">
        <v>600</v>
      </c>
      <c r="B48" s="31" t="s">
        <v>601</v>
      </c>
      <c r="C48" s="31" t="s">
        <v>181</v>
      </c>
      <c r="D48" s="31" t="str">
        <f>"0,5881"</f>
        <v>0,5881</v>
      </c>
      <c r="E48" s="31" t="s">
        <v>68</v>
      </c>
      <c r="F48" s="31" t="s">
        <v>602</v>
      </c>
      <c r="G48" s="31" t="s">
        <v>28</v>
      </c>
      <c r="H48" s="31" t="s">
        <v>29</v>
      </c>
      <c r="I48" s="32" t="s">
        <v>99</v>
      </c>
      <c r="J48" s="32"/>
      <c r="K48" s="31">
        <v>105</v>
      </c>
      <c r="L48" s="31" t="str">
        <f>"61,7505"</f>
        <v>61,7505</v>
      </c>
      <c r="M48" s="31" t="s">
        <v>173</v>
      </c>
    </row>
    <row r="50" spans="1:12" ht="15">
      <c r="A50" s="62" t="s">
        <v>206</v>
      </c>
      <c r="B50" s="62"/>
      <c r="C50" s="62"/>
      <c r="D50" s="62"/>
      <c r="E50" s="62"/>
      <c r="F50" s="62"/>
      <c r="G50" s="62"/>
      <c r="H50" s="62"/>
      <c r="I50" s="62"/>
      <c r="J50" s="62"/>
      <c r="K50" s="62"/>
      <c r="L50" s="62"/>
    </row>
    <row r="51" spans="1:13" ht="12.75">
      <c r="A51" s="33" t="s">
        <v>603</v>
      </c>
      <c r="B51" s="33" t="s">
        <v>604</v>
      </c>
      <c r="C51" s="33" t="s">
        <v>605</v>
      </c>
      <c r="D51" s="33" t="str">
        <f>"0,5613"</f>
        <v>0,5613</v>
      </c>
      <c r="E51" s="33" t="s">
        <v>26</v>
      </c>
      <c r="F51" s="33" t="s">
        <v>27</v>
      </c>
      <c r="G51" s="33" t="s">
        <v>471</v>
      </c>
      <c r="H51" s="33" t="s">
        <v>80</v>
      </c>
      <c r="I51" s="33" t="s">
        <v>99</v>
      </c>
      <c r="J51" s="34"/>
      <c r="K51" s="33">
        <v>125</v>
      </c>
      <c r="L51" s="33" t="str">
        <f>"70,1625"</f>
        <v>70,1625</v>
      </c>
      <c r="M51" s="33" t="s">
        <v>173</v>
      </c>
    </row>
    <row r="52" spans="1:13" ht="12.75">
      <c r="A52" s="35" t="s">
        <v>606</v>
      </c>
      <c r="B52" s="35" t="s">
        <v>607</v>
      </c>
      <c r="C52" s="35" t="s">
        <v>608</v>
      </c>
      <c r="D52" s="35" t="str">
        <f>"0,5540"</f>
        <v>0,5540</v>
      </c>
      <c r="E52" s="35" t="s">
        <v>559</v>
      </c>
      <c r="F52" s="35" t="s">
        <v>540</v>
      </c>
      <c r="G52" s="35" t="s">
        <v>70</v>
      </c>
      <c r="H52" s="36" t="s">
        <v>428</v>
      </c>
      <c r="I52" s="36" t="s">
        <v>28</v>
      </c>
      <c r="J52" s="36"/>
      <c r="K52" s="35">
        <v>90</v>
      </c>
      <c r="L52" s="35" t="str">
        <f>"49,8600"</f>
        <v>49,8600</v>
      </c>
      <c r="M52" s="35" t="s">
        <v>173</v>
      </c>
    </row>
    <row r="53" spans="1:13" ht="12.75">
      <c r="A53" s="37" t="s">
        <v>609</v>
      </c>
      <c r="B53" s="37" t="s">
        <v>610</v>
      </c>
      <c r="C53" s="37" t="s">
        <v>611</v>
      </c>
      <c r="D53" s="37" t="str">
        <f>"0,5608"</f>
        <v>0,5608</v>
      </c>
      <c r="E53" s="37" t="s">
        <v>68</v>
      </c>
      <c r="F53" s="37" t="s">
        <v>602</v>
      </c>
      <c r="G53" s="37" t="s">
        <v>30</v>
      </c>
      <c r="H53" s="37" t="s">
        <v>39</v>
      </c>
      <c r="I53" s="37" t="s">
        <v>99</v>
      </c>
      <c r="J53" s="38"/>
      <c r="K53" s="37">
        <v>125</v>
      </c>
      <c r="L53" s="37" t="str">
        <f>"107,6035"</f>
        <v>107,6035</v>
      </c>
      <c r="M53" s="37" t="s">
        <v>173</v>
      </c>
    </row>
    <row r="55" spans="1:12" ht="15">
      <c r="A55" s="62" t="s">
        <v>235</v>
      </c>
      <c r="B55" s="62"/>
      <c r="C55" s="62"/>
      <c r="D55" s="62"/>
      <c r="E55" s="62"/>
      <c r="F55" s="62"/>
      <c r="G55" s="62"/>
      <c r="H55" s="62"/>
      <c r="I55" s="62"/>
      <c r="J55" s="62"/>
      <c r="K55" s="62"/>
      <c r="L55" s="62"/>
    </row>
    <row r="56" spans="1:13" ht="12.75">
      <c r="A56" s="33" t="s">
        <v>612</v>
      </c>
      <c r="B56" s="33" t="s">
        <v>613</v>
      </c>
      <c r="C56" s="33" t="s">
        <v>614</v>
      </c>
      <c r="D56" s="33" t="str">
        <f>"0,5455"</f>
        <v>0,5455</v>
      </c>
      <c r="E56" s="33" t="s">
        <v>413</v>
      </c>
      <c r="F56" s="33" t="s">
        <v>27</v>
      </c>
      <c r="G56" s="33" t="s">
        <v>63</v>
      </c>
      <c r="H56" s="33" t="s">
        <v>55</v>
      </c>
      <c r="I56" s="34" t="s">
        <v>438</v>
      </c>
      <c r="J56" s="34"/>
      <c r="K56" s="33">
        <v>145</v>
      </c>
      <c r="L56" s="33" t="str">
        <f>"79,0975"</f>
        <v>79,0975</v>
      </c>
      <c r="M56" s="33" t="s">
        <v>173</v>
      </c>
    </row>
    <row r="57" spans="1:13" ht="12.75">
      <c r="A57" s="35" t="s">
        <v>615</v>
      </c>
      <c r="B57" s="35" t="s">
        <v>616</v>
      </c>
      <c r="C57" s="35" t="s">
        <v>617</v>
      </c>
      <c r="D57" s="35" t="str">
        <f>"0,5517"</f>
        <v>0,5517</v>
      </c>
      <c r="E57" s="35" t="s">
        <v>68</v>
      </c>
      <c r="F57" s="35" t="s">
        <v>540</v>
      </c>
      <c r="G57" s="35" t="s">
        <v>80</v>
      </c>
      <c r="H57" s="35" t="s">
        <v>99</v>
      </c>
      <c r="I57" s="35" t="s">
        <v>552</v>
      </c>
      <c r="J57" s="36"/>
      <c r="K57" s="35">
        <v>127.5</v>
      </c>
      <c r="L57" s="35" t="str">
        <f>"70,3417"</f>
        <v>70,3417</v>
      </c>
      <c r="M57" s="35" t="s">
        <v>173</v>
      </c>
    </row>
    <row r="58" spans="1:13" ht="12.75">
      <c r="A58" s="37" t="s">
        <v>618</v>
      </c>
      <c r="B58" s="37" t="s">
        <v>619</v>
      </c>
      <c r="C58" s="37" t="s">
        <v>620</v>
      </c>
      <c r="D58" s="37" t="str">
        <f>"0,5393"</f>
        <v>0,5393</v>
      </c>
      <c r="E58" s="37" t="s">
        <v>621</v>
      </c>
      <c r="F58" s="37" t="s">
        <v>27</v>
      </c>
      <c r="G58" s="37" t="s">
        <v>62</v>
      </c>
      <c r="H58" s="37" t="s">
        <v>465</v>
      </c>
      <c r="I58" s="38" t="s">
        <v>438</v>
      </c>
      <c r="J58" s="38"/>
      <c r="K58" s="37">
        <v>147.5</v>
      </c>
      <c r="L58" s="37" t="str">
        <f>"83,3650"</f>
        <v>83,3650</v>
      </c>
      <c r="M58" s="37" t="s">
        <v>173</v>
      </c>
    </row>
    <row r="60" spans="1:12" ht="15">
      <c r="A60" s="62" t="s">
        <v>262</v>
      </c>
      <c r="B60" s="62"/>
      <c r="C60" s="62"/>
      <c r="D60" s="62"/>
      <c r="E60" s="62"/>
      <c r="F60" s="62"/>
      <c r="G60" s="62"/>
      <c r="H60" s="62"/>
      <c r="I60" s="62"/>
      <c r="J60" s="62"/>
      <c r="K60" s="62"/>
      <c r="L60" s="62"/>
    </row>
    <row r="61" spans="1:13" ht="12.75">
      <c r="A61" s="31" t="s">
        <v>622</v>
      </c>
      <c r="B61" s="31" t="s">
        <v>623</v>
      </c>
      <c r="C61" s="31" t="s">
        <v>624</v>
      </c>
      <c r="D61" s="31" t="str">
        <f>"0,5243"</f>
        <v>0,5243</v>
      </c>
      <c r="E61" s="31" t="s">
        <v>68</v>
      </c>
      <c r="F61" s="31" t="s">
        <v>523</v>
      </c>
      <c r="G61" s="31" t="s">
        <v>391</v>
      </c>
      <c r="H61" s="31" t="s">
        <v>395</v>
      </c>
      <c r="I61" s="32" t="s">
        <v>417</v>
      </c>
      <c r="J61" s="32"/>
      <c r="K61" s="31">
        <v>75</v>
      </c>
      <c r="L61" s="31" t="str">
        <f>"41,6818"</f>
        <v>41,6818</v>
      </c>
      <c r="M61" s="31" t="s">
        <v>173</v>
      </c>
    </row>
    <row r="63" spans="5:6" ht="15">
      <c r="E63" s="39" t="s">
        <v>279</v>
      </c>
      <c r="F63" s="41" t="s">
        <v>1935</v>
      </c>
    </row>
    <row r="64" spans="5:6" ht="15">
      <c r="E64" s="39" t="s">
        <v>1940</v>
      </c>
      <c r="F64" s="41" t="s">
        <v>1941</v>
      </c>
    </row>
    <row r="65" spans="5:6" ht="15">
      <c r="E65" s="39" t="s">
        <v>280</v>
      </c>
      <c r="F65" s="41" t="s">
        <v>1936</v>
      </c>
    </row>
    <row r="66" spans="5:6" ht="15">
      <c r="E66" s="39" t="s">
        <v>281</v>
      </c>
      <c r="F66" s="41" t="s">
        <v>1939</v>
      </c>
    </row>
    <row r="67" spans="5:6" ht="15">
      <c r="E67" s="39" t="s">
        <v>282</v>
      </c>
      <c r="F67" s="41" t="s">
        <v>1943</v>
      </c>
    </row>
    <row r="68" spans="5:6" ht="15">
      <c r="E68" s="39" t="s">
        <v>282</v>
      </c>
      <c r="F68" s="41" t="s">
        <v>1944</v>
      </c>
    </row>
    <row r="69" spans="5:6" ht="15">
      <c r="E69" s="39" t="s">
        <v>283</v>
      </c>
      <c r="F69" s="41" t="s">
        <v>1942</v>
      </c>
    </row>
    <row r="70" spans="5:6" ht="15">
      <c r="E70" s="39" t="s">
        <v>1937</v>
      </c>
      <c r="F70" s="41" t="s">
        <v>1938</v>
      </c>
    </row>
    <row r="71" spans="1:2" ht="18">
      <c r="A71" s="40" t="s">
        <v>284</v>
      </c>
      <c r="B71" s="40"/>
    </row>
    <row r="72" spans="1:2" ht="15">
      <c r="A72" s="42" t="s">
        <v>285</v>
      </c>
      <c r="B72" s="42"/>
    </row>
    <row r="73" spans="1:2" ht="14.25">
      <c r="A73" s="44"/>
      <c r="B73" s="45" t="s">
        <v>297</v>
      </c>
    </row>
    <row r="74" spans="1:5" ht="15">
      <c r="A74" s="46" t="s">
        <v>287</v>
      </c>
      <c r="B74" s="46" t="s">
        <v>288</v>
      </c>
      <c r="C74" s="46" t="s">
        <v>289</v>
      </c>
      <c r="D74" s="46" t="s">
        <v>290</v>
      </c>
      <c r="E74" s="46" t="s">
        <v>291</v>
      </c>
    </row>
    <row r="75" spans="1:5" ht="12.75">
      <c r="A75" s="43" t="s">
        <v>519</v>
      </c>
      <c r="B75" s="30" t="s">
        <v>298</v>
      </c>
      <c r="C75" s="30" t="s">
        <v>293</v>
      </c>
      <c r="D75" s="30" t="s">
        <v>524</v>
      </c>
      <c r="E75" s="47" t="s">
        <v>625</v>
      </c>
    </row>
    <row r="77" spans="1:2" ht="14.25">
      <c r="A77" s="44"/>
      <c r="B77" s="45" t="s">
        <v>301</v>
      </c>
    </row>
    <row r="78" spans="1:5" ht="15">
      <c r="A78" s="46" t="s">
        <v>287</v>
      </c>
      <c r="B78" s="46" t="s">
        <v>288</v>
      </c>
      <c r="C78" s="46" t="s">
        <v>289</v>
      </c>
      <c r="D78" s="46" t="s">
        <v>290</v>
      </c>
      <c r="E78" s="46" t="s">
        <v>291</v>
      </c>
    </row>
    <row r="79" spans="1:5" ht="12.75">
      <c r="A79" s="43" t="s">
        <v>525</v>
      </c>
      <c r="B79" s="30" t="s">
        <v>301</v>
      </c>
      <c r="C79" s="30" t="s">
        <v>302</v>
      </c>
      <c r="D79" s="30" t="s">
        <v>393</v>
      </c>
      <c r="E79" s="47" t="s">
        <v>626</v>
      </c>
    </row>
    <row r="80" spans="1:5" ht="12.75">
      <c r="A80" s="43" t="s">
        <v>514</v>
      </c>
      <c r="B80" s="30" t="s">
        <v>301</v>
      </c>
      <c r="C80" s="30" t="s">
        <v>299</v>
      </c>
      <c r="D80" s="30" t="s">
        <v>392</v>
      </c>
      <c r="E80" s="47" t="s">
        <v>627</v>
      </c>
    </row>
    <row r="83" spans="1:2" ht="15">
      <c r="A83" s="42" t="s">
        <v>312</v>
      </c>
      <c r="B83" s="42"/>
    </row>
    <row r="84" spans="1:2" ht="14.25">
      <c r="A84" s="44"/>
      <c r="B84" s="45" t="s">
        <v>286</v>
      </c>
    </row>
    <row r="85" spans="1:5" ht="15">
      <c r="A85" s="46" t="s">
        <v>287</v>
      </c>
      <c r="B85" s="46" t="s">
        <v>288</v>
      </c>
      <c r="C85" s="46" t="s">
        <v>289</v>
      </c>
      <c r="D85" s="46" t="s">
        <v>290</v>
      </c>
      <c r="E85" s="46" t="s">
        <v>291</v>
      </c>
    </row>
    <row r="86" spans="1:5" ht="12.75">
      <c r="A86" s="43" t="s">
        <v>528</v>
      </c>
      <c r="B86" s="30" t="s">
        <v>481</v>
      </c>
      <c r="C86" s="30" t="s">
        <v>302</v>
      </c>
      <c r="D86" s="30" t="s">
        <v>69</v>
      </c>
      <c r="E86" s="47" t="s">
        <v>628</v>
      </c>
    </row>
    <row r="87" spans="1:5" ht="12.75">
      <c r="A87" s="43" t="s">
        <v>622</v>
      </c>
      <c r="B87" s="30" t="s">
        <v>479</v>
      </c>
      <c r="C87" s="30" t="s">
        <v>330</v>
      </c>
      <c r="D87" s="30" t="s">
        <v>395</v>
      </c>
      <c r="E87" s="47" t="s">
        <v>629</v>
      </c>
    </row>
    <row r="88" spans="1:5" ht="12.75">
      <c r="A88" s="43" t="s">
        <v>584</v>
      </c>
      <c r="B88" s="30" t="s">
        <v>479</v>
      </c>
      <c r="C88" s="30" t="s">
        <v>313</v>
      </c>
      <c r="D88" s="30" t="s">
        <v>402</v>
      </c>
      <c r="E88" s="47" t="s">
        <v>630</v>
      </c>
    </row>
    <row r="90" spans="1:2" ht="14.25">
      <c r="A90" s="44"/>
      <c r="B90" s="45" t="s">
        <v>297</v>
      </c>
    </row>
    <row r="91" spans="1:5" ht="15">
      <c r="A91" s="46" t="s">
        <v>287</v>
      </c>
      <c r="B91" s="46" t="s">
        <v>288</v>
      </c>
      <c r="C91" s="46" t="s">
        <v>289</v>
      </c>
      <c r="D91" s="46" t="s">
        <v>290</v>
      </c>
      <c r="E91" s="46" t="s">
        <v>291</v>
      </c>
    </row>
    <row r="92" spans="1:5" ht="12.75">
      <c r="A92" s="43" t="s">
        <v>541</v>
      </c>
      <c r="B92" s="30" t="s">
        <v>298</v>
      </c>
      <c r="C92" s="30" t="s">
        <v>295</v>
      </c>
      <c r="D92" s="30" t="s">
        <v>414</v>
      </c>
      <c r="E92" s="47" t="s">
        <v>631</v>
      </c>
    </row>
    <row r="93" spans="1:5" ht="12.75">
      <c r="A93" s="43" t="s">
        <v>546</v>
      </c>
      <c r="B93" s="30" t="s">
        <v>298</v>
      </c>
      <c r="C93" s="30" t="s">
        <v>306</v>
      </c>
      <c r="D93" s="30" t="s">
        <v>28</v>
      </c>
      <c r="E93" s="47" t="s">
        <v>632</v>
      </c>
    </row>
    <row r="94" spans="1:5" ht="12.75">
      <c r="A94" s="43" t="s">
        <v>531</v>
      </c>
      <c r="B94" s="30" t="s">
        <v>298</v>
      </c>
      <c r="C94" s="30" t="s">
        <v>302</v>
      </c>
      <c r="D94" s="30" t="s">
        <v>400</v>
      </c>
      <c r="E94" s="47" t="s">
        <v>633</v>
      </c>
    </row>
    <row r="95" spans="1:5" ht="12.75">
      <c r="A95" s="43" t="s">
        <v>543</v>
      </c>
      <c r="B95" s="30" t="s">
        <v>298</v>
      </c>
      <c r="C95" s="30" t="s">
        <v>295</v>
      </c>
      <c r="D95" s="30" t="s">
        <v>390</v>
      </c>
      <c r="E95" s="47" t="s">
        <v>634</v>
      </c>
    </row>
    <row r="96" spans="1:5" ht="12.75">
      <c r="A96" s="43" t="s">
        <v>567</v>
      </c>
      <c r="B96" s="30" t="s">
        <v>298</v>
      </c>
      <c r="C96" s="30" t="s">
        <v>309</v>
      </c>
      <c r="D96" s="30" t="s">
        <v>391</v>
      </c>
      <c r="E96" s="47" t="s">
        <v>635</v>
      </c>
    </row>
    <row r="97" spans="1:5" ht="12.75">
      <c r="A97" s="43" t="s">
        <v>570</v>
      </c>
      <c r="B97" s="30" t="s">
        <v>298</v>
      </c>
      <c r="C97" s="30" t="s">
        <v>309</v>
      </c>
      <c r="D97" s="30" t="s">
        <v>400</v>
      </c>
      <c r="E97" s="47" t="s">
        <v>636</v>
      </c>
    </row>
    <row r="99" spans="1:2" ht="14.25">
      <c r="A99" s="44"/>
      <c r="B99" s="45" t="s">
        <v>301</v>
      </c>
    </row>
    <row r="100" spans="1:5" ht="15">
      <c r="A100" s="46" t="s">
        <v>287</v>
      </c>
      <c r="B100" s="46" t="s">
        <v>288</v>
      </c>
      <c r="C100" s="46" t="s">
        <v>289</v>
      </c>
      <c r="D100" s="46" t="s">
        <v>290</v>
      </c>
      <c r="E100" s="46" t="s">
        <v>291</v>
      </c>
    </row>
    <row r="101" spans="1:5" ht="12.75">
      <c r="A101" s="43" t="s">
        <v>549</v>
      </c>
      <c r="B101" s="30" t="s">
        <v>301</v>
      </c>
      <c r="C101" s="30" t="s">
        <v>306</v>
      </c>
      <c r="D101" s="30" t="s">
        <v>99</v>
      </c>
      <c r="E101" s="47" t="s">
        <v>637</v>
      </c>
    </row>
    <row r="102" spans="1:5" ht="12.75">
      <c r="A102" s="43" t="s">
        <v>534</v>
      </c>
      <c r="B102" s="30" t="s">
        <v>301</v>
      </c>
      <c r="C102" s="30" t="s">
        <v>302</v>
      </c>
      <c r="D102" s="30" t="s">
        <v>69</v>
      </c>
      <c r="E102" s="47" t="s">
        <v>638</v>
      </c>
    </row>
    <row r="103" spans="1:5" ht="12.75">
      <c r="A103" s="43" t="s">
        <v>553</v>
      </c>
      <c r="B103" s="30" t="s">
        <v>301</v>
      </c>
      <c r="C103" s="30" t="s">
        <v>306</v>
      </c>
      <c r="D103" s="30" t="s">
        <v>28</v>
      </c>
      <c r="E103" s="47" t="s">
        <v>639</v>
      </c>
    </row>
    <row r="104" spans="1:5" ht="12.75">
      <c r="A104" s="43" t="s">
        <v>612</v>
      </c>
      <c r="B104" s="30" t="s">
        <v>301</v>
      </c>
      <c r="C104" s="30" t="s">
        <v>320</v>
      </c>
      <c r="D104" s="30" t="s">
        <v>55</v>
      </c>
      <c r="E104" s="47" t="s">
        <v>640</v>
      </c>
    </row>
    <row r="105" spans="1:5" ht="12.75">
      <c r="A105" s="43" t="s">
        <v>594</v>
      </c>
      <c r="B105" s="30" t="s">
        <v>301</v>
      </c>
      <c r="C105" s="30" t="s">
        <v>318</v>
      </c>
      <c r="D105" s="30" t="s">
        <v>80</v>
      </c>
      <c r="E105" s="47" t="s">
        <v>641</v>
      </c>
    </row>
    <row r="106" spans="1:5" ht="12.75">
      <c r="A106" s="43" t="s">
        <v>615</v>
      </c>
      <c r="B106" s="30" t="s">
        <v>301</v>
      </c>
      <c r="C106" s="30" t="s">
        <v>320</v>
      </c>
      <c r="D106" s="30" t="s">
        <v>552</v>
      </c>
      <c r="E106" s="47" t="s">
        <v>642</v>
      </c>
    </row>
    <row r="107" spans="1:5" ht="12.75">
      <c r="A107" s="43" t="s">
        <v>603</v>
      </c>
      <c r="B107" s="30" t="s">
        <v>301</v>
      </c>
      <c r="C107" s="30" t="s">
        <v>315</v>
      </c>
      <c r="D107" s="30" t="s">
        <v>99</v>
      </c>
      <c r="E107" s="47" t="s">
        <v>643</v>
      </c>
    </row>
    <row r="108" spans="1:5" ht="12.75">
      <c r="A108" s="43" t="s">
        <v>537</v>
      </c>
      <c r="B108" s="30" t="s">
        <v>301</v>
      </c>
      <c r="C108" s="30" t="s">
        <v>302</v>
      </c>
      <c r="D108" s="30" t="s">
        <v>401</v>
      </c>
      <c r="E108" s="47" t="s">
        <v>644</v>
      </c>
    </row>
    <row r="109" spans="1:5" ht="12.75">
      <c r="A109" s="43" t="s">
        <v>556</v>
      </c>
      <c r="B109" s="30" t="s">
        <v>301</v>
      </c>
      <c r="C109" s="30" t="s">
        <v>306</v>
      </c>
      <c r="D109" s="30" t="s">
        <v>417</v>
      </c>
      <c r="E109" s="47" t="s">
        <v>645</v>
      </c>
    </row>
    <row r="110" spans="1:5" ht="12.75">
      <c r="A110" s="43" t="s">
        <v>600</v>
      </c>
      <c r="B110" s="30" t="s">
        <v>301</v>
      </c>
      <c r="C110" s="30" t="s">
        <v>323</v>
      </c>
      <c r="D110" s="30" t="s">
        <v>29</v>
      </c>
      <c r="E110" s="47" t="s">
        <v>646</v>
      </c>
    </row>
    <row r="111" spans="1:5" ht="12.75">
      <c r="A111" s="43" t="s">
        <v>587</v>
      </c>
      <c r="B111" s="30" t="s">
        <v>301</v>
      </c>
      <c r="C111" s="30" t="s">
        <v>313</v>
      </c>
      <c r="D111" s="30" t="s">
        <v>20</v>
      </c>
      <c r="E111" s="47" t="s">
        <v>647</v>
      </c>
    </row>
    <row r="112" spans="1:5" ht="12.75">
      <c r="A112" s="43" t="s">
        <v>560</v>
      </c>
      <c r="B112" s="30" t="s">
        <v>301</v>
      </c>
      <c r="C112" s="30" t="s">
        <v>306</v>
      </c>
      <c r="D112" s="30" t="s">
        <v>390</v>
      </c>
      <c r="E112" s="47" t="s">
        <v>648</v>
      </c>
    </row>
    <row r="113" spans="1:5" ht="12.75">
      <c r="A113" s="43" t="s">
        <v>591</v>
      </c>
      <c r="B113" s="30" t="s">
        <v>301</v>
      </c>
      <c r="C113" s="30" t="s">
        <v>313</v>
      </c>
      <c r="D113" s="30" t="s">
        <v>409</v>
      </c>
      <c r="E113" s="47" t="s">
        <v>649</v>
      </c>
    </row>
    <row r="114" spans="1:5" ht="12.75">
      <c r="A114" s="43" t="s">
        <v>573</v>
      </c>
      <c r="B114" s="30" t="s">
        <v>301</v>
      </c>
      <c r="C114" s="30" t="s">
        <v>309</v>
      </c>
      <c r="D114" s="30" t="s">
        <v>578</v>
      </c>
      <c r="E114" s="47" t="s">
        <v>650</v>
      </c>
    </row>
    <row r="116" spans="1:2" ht="14.25">
      <c r="A116" s="44"/>
      <c r="B116" s="45" t="s">
        <v>340</v>
      </c>
    </row>
    <row r="117" spans="1:5" ht="15">
      <c r="A117" s="46" t="s">
        <v>287</v>
      </c>
      <c r="B117" s="46" t="s">
        <v>288</v>
      </c>
      <c r="C117" s="46" t="s">
        <v>289</v>
      </c>
      <c r="D117" s="46" t="s">
        <v>290</v>
      </c>
      <c r="E117" s="46" t="s">
        <v>291</v>
      </c>
    </row>
    <row r="118" spans="1:5" ht="12.75">
      <c r="A118" s="43" t="s">
        <v>609</v>
      </c>
      <c r="B118" s="30" t="s">
        <v>651</v>
      </c>
      <c r="C118" s="30" t="s">
        <v>315</v>
      </c>
      <c r="D118" s="30" t="s">
        <v>99</v>
      </c>
      <c r="E118" s="47" t="s">
        <v>652</v>
      </c>
    </row>
    <row r="119" spans="1:5" ht="12.75">
      <c r="A119" s="43" t="s">
        <v>618</v>
      </c>
      <c r="B119" s="30" t="s">
        <v>350</v>
      </c>
      <c r="C119" s="30" t="s">
        <v>320</v>
      </c>
      <c r="D119" s="30" t="s">
        <v>465</v>
      </c>
      <c r="E119" s="47" t="s">
        <v>653</v>
      </c>
    </row>
    <row r="120" spans="1:5" ht="12.75">
      <c r="A120" s="43" t="s">
        <v>606</v>
      </c>
      <c r="B120" s="30" t="s">
        <v>348</v>
      </c>
      <c r="C120" s="30" t="s">
        <v>315</v>
      </c>
      <c r="D120" s="30" t="s">
        <v>70</v>
      </c>
      <c r="E120" s="47" t="s">
        <v>654</v>
      </c>
    </row>
    <row r="121" spans="1:5" ht="12.75">
      <c r="A121" s="43" t="s">
        <v>580</v>
      </c>
      <c r="B121" s="30" t="s">
        <v>348</v>
      </c>
      <c r="C121" s="30" t="s">
        <v>309</v>
      </c>
      <c r="D121" s="30" t="s">
        <v>409</v>
      </c>
      <c r="E121" s="47" t="s">
        <v>655</v>
      </c>
    </row>
    <row r="122" spans="1:5" ht="12.75">
      <c r="A122" s="43" t="s">
        <v>564</v>
      </c>
      <c r="B122" s="30" t="s">
        <v>348</v>
      </c>
      <c r="C122" s="30" t="s">
        <v>306</v>
      </c>
      <c r="D122" s="30" t="s">
        <v>400</v>
      </c>
      <c r="E122" s="47" t="s">
        <v>656</v>
      </c>
    </row>
  </sheetData>
  <sheetProtection/>
  <mergeCells count="24">
    <mergeCell ref="A55:L55"/>
    <mergeCell ref="A60:L60"/>
    <mergeCell ref="A14:L14"/>
    <mergeCell ref="A20:L20"/>
    <mergeCell ref="A24:L24"/>
    <mergeCell ref="A32:L32"/>
    <mergeCell ref="A38:L38"/>
    <mergeCell ref="A43:L43"/>
    <mergeCell ref="M3:M4"/>
    <mergeCell ref="A5:L5"/>
    <mergeCell ref="A8:L8"/>
    <mergeCell ref="A11:L11"/>
    <mergeCell ref="A47:L47"/>
    <mergeCell ref="A50:L50"/>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U84"/>
  <sheetViews>
    <sheetView zoomScalePageLayoutView="0" workbookViewId="0" topLeftCell="A1">
      <selection activeCell="A1" sqref="A1:U2"/>
    </sheetView>
  </sheetViews>
  <sheetFormatPr defaultColWidth="9.00390625" defaultRowHeight="12.75"/>
  <cols>
    <col min="1" max="1" width="26.00390625" style="30" bestFit="1" customWidth="1"/>
    <col min="2" max="2" width="26.875" style="30" bestFit="1" customWidth="1"/>
    <col min="3"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3" width="5.625" style="30" bestFit="1" customWidth="1"/>
    <col min="14" max="14" width="4.625" style="30" bestFit="1" customWidth="1"/>
    <col min="15" max="17" width="5.625" style="30" bestFit="1" customWidth="1"/>
    <col min="18" max="18" width="4.625" style="30" bestFit="1" customWidth="1"/>
    <col min="19" max="19" width="7.875" style="30" bestFit="1" customWidth="1"/>
    <col min="20" max="20" width="8.625" style="30" bestFit="1" customWidth="1"/>
    <col min="21" max="21" width="8.875" style="30" bestFit="1" customWidth="1"/>
  </cols>
  <sheetData>
    <row r="1" spans="1:21" s="1" customFormat="1" ht="15" customHeight="1">
      <c r="A1" s="48" t="s">
        <v>385</v>
      </c>
      <c r="B1" s="49"/>
      <c r="C1" s="49"/>
      <c r="D1" s="49"/>
      <c r="E1" s="49"/>
      <c r="F1" s="49"/>
      <c r="G1" s="49"/>
      <c r="H1" s="49"/>
      <c r="I1" s="49"/>
      <c r="J1" s="49"/>
      <c r="K1" s="49"/>
      <c r="L1" s="49"/>
      <c r="M1" s="49"/>
      <c r="N1" s="49"/>
      <c r="O1" s="49"/>
      <c r="P1" s="49"/>
      <c r="Q1" s="49"/>
      <c r="R1" s="49"/>
      <c r="S1" s="49"/>
      <c r="T1" s="49"/>
      <c r="U1" s="50"/>
    </row>
    <row r="2" spans="1:21" s="1" customFormat="1" ht="66" customHeight="1" thickBot="1">
      <c r="A2" s="51"/>
      <c r="B2" s="52"/>
      <c r="C2" s="52"/>
      <c r="D2" s="52"/>
      <c r="E2" s="52"/>
      <c r="F2" s="52"/>
      <c r="G2" s="52"/>
      <c r="H2" s="52"/>
      <c r="I2" s="52"/>
      <c r="J2" s="52"/>
      <c r="K2" s="52"/>
      <c r="L2" s="52"/>
      <c r="M2" s="52"/>
      <c r="N2" s="52"/>
      <c r="O2" s="52"/>
      <c r="P2" s="52"/>
      <c r="Q2" s="52"/>
      <c r="R2" s="52"/>
      <c r="S2" s="52"/>
      <c r="T2" s="52"/>
      <c r="U2" s="53"/>
    </row>
    <row r="3" spans="1:21" s="2" customFormat="1" ht="12.75" customHeight="1">
      <c r="A3" s="54" t="s">
        <v>0</v>
      </c>
      <c r="B3" s="56" t="s">
        <v>11</v>
      </c>
      <c r="C3" s="58" t="s">
        <v>5</v>
      </c>
      <c r="D3" s="58" t="s">
        <v>13</v>
      </c>
      <c r="E3" s="58" t="s">
        <v>8</v>
      </c>
      <c r="F3" s="58" t="s">
        <v>10</v>
      </c>
      <c r="G3" s="58" t="s">
        <v>1</v>
      </c>
      <c r="H3" s="58"/>
      <c r="I3" s="58"/>
      <c r="J3" s="58"/>
      <c r="K3" s="58" t="s">
        <v>2</v>
      </c>
      <c r="L3" s="58"/>
      <c r="M3" s="58"/>
      <c r="N3" s="58"/>
      <c r="O3" s="58" t="s">
        <v>3</v>
      </c>
      <c r="P3" s="58"/>
      <c r="Q3" s="58"/>
      <c r="R3" s="58"/>
      <c r="S3" s="58" t="s">
        <v>4</v>
      </c>
      <c r="T3" s="58" t="s">
        <v>7</v>
      </c>
      <c r="U3" s="59" t="s">
        <v>6</v>
      </c>
    </row>
    <row r="4" spans="1:21" s="2" customFormat="1" ht="21" customHeight="1" thickBot="1">
      <c r="A4" s="55"/>
      <c r="B4" s="57"/>
      <c r="C4" s="57"/>
      <c r="D4" s="57"/>
      <c r="E4" s="57"/>
      <c r="F4" s="57"/>
      <c r="G4" s="3">
        <v>1</v>
      </c>
      <c r="H4" s="3">
        <v>2</v>
      </c>
      <c r="I4" s="3">
        <v>3</v>
      </c>
      <c r="J4" s="3" t="s">
        <v>9</v>
      </c>
      <c r="K4" s="3">
        <v>1</v>
      </c>
      <c r="L4" s="3">
        <v>2</v>
      </c>
      <c r="M4" s="3">
        <v>3</v>
      </c>
      <c r="N4" s="3" t="s">
        <v>9</v>
      </c>
      <c r="O4" s="3">
        <v>1</v>
      </c>
      <c r="P4" s="3">
        <v>2</v>
      </c>
      <c r="Q4" s="3">
        <v>3</v>
      </c>
      <c r="R4" s="3" t="s">
        <v>9</v>
      </c>
      <c r="S4" s="57"/>
      <c r="T4" s="57"/>
      <c r="U4" s="60"/>
    </row>
    <row r="5" spans="1:20" ht="15">
      <c r="A5" s="61" t="s">
        <v>33</v>
      </c>
      <c r="B5" s="61"/>
      <c r="C5" s="61"/>
      <c r="D5" s="61"/>
      <c r="E5" s="61"/>
      <c r="F5" s="61"/>
      <c r="G5" s="61"/>
      <c r="H5" s="61"/>
      <c r="I5" s="61"/>
      <c r="J5" s="61"/>
      <c r="K5" s="61"/>
      <c r="L5" s="61"/>
      <c r="M5" s="61"/>
      <c r="N5" s="61"/>
      <c r="O5" s="61"/>
      <c r="P5" s="61"/>
      <c r="Q5" s="61"/>
      <c r="R5" s="61"/>
      <c r="S5" s="61"/>
      <c r="T5" s="61"/>
    </row>
    <row r="6" spans="1:21" ht="12.75">
      <c r="A6" s="31" t="s">
        <v>386</v>
      </c>
      <c r="B6" s="31" t="s">
        <v>387</v>
      </c>
      <c r="C6" s="31" t="s">
        <v>388</v>
      </c>
      <c r="D6" s="31" t="str">
        <f>"1,1010"</f>
        <v>1,1010</v>
      </c>
      <c r="E6" s="31" t="s">
        <v>68</v>
      </c>
      <c r="F6" s="31" t="s">
        <v>389</v>
      </c>
      <c r="G6" s="31" t="s">
        <v>390</v>
      </c>
      <c r="H6" s="31" t="s">
        <v>391</v>
      </c>
      <c r="I6" s="32"/>
      <c r="J6" s="32"/>
      <c r="K6" s="31" t="s">
        <v>392</v>
      </c>
      <c r="L6" s="32" t="s">
        <v>393</v>
      </c>
      <c r="M6" s="32"/>
      <c r="N6" s="32"/>
      <c r="O6" s="31" t="s">
        <v>394</v>
      </c>
      <c r="P6" s="31" t="s">
        <v>395</v>
      </c>
      <c r="Q6" s="31" t="s">
        <v>69</v>
      </c>
      <c r="R6" s="32"/>
      <c r="S6" s="31">
        <v>185</v>
      </c>
      <c r="T6" s="31" t="str">
        <f>"215,9061"</f>
        <v>215,9061</v>
      </c>
      <c r="U6" s="31" t="s">
        <v>173</v>
      </c>
    </row>
    <row r="8" spans="1:20" ht="15">
      <c r="A8" s="62" t="s">
        <v>50</v>
      </c>
      <c r="B8" s="62"/>
      <c r="C8" s="62"/>
      <c r="D8" s="62"/>
      <c r="E8" s="62"/>
      <c r="F8" s="62"/>
      <c r="G8" s="62"/>
      <c r="H8" s="62"/>
      <c r="I8" s="62"/>
      <c r="J8" s="62"/>
      <c r="K8" s="62"/>
      <c r="L8" s="62"/>
      <c r="M8" s="62"/>
      <c r="N8" s="62"/>
      <c r="O8" s="62"/>
      <c r="P8" s="62"/>
      <c r="Q8" s="62"/>
      <c r="R8" s="62"/>
      <c r="S8" s="62"/>
      <c r="T8" s="62"/>
    </row>
    <row r="9" spans="1:21" ht="12.75">
      <c r="A9" s="33" t="s">
        <v>396</v>
      </c>
      <c r="B9" s="33" t="s">
        <v>397</v>
      </c>
      <c r="C9" s="33" t="s">
        <v>398</v>
      </c>
      <c r="D9" s="33" t="str">
        <f>"1,1927"</f>
        <v>1,1927</v>
      </c>
      <c r="E9" s="33" t="s">
        <v>399</v>
      </c>
      <c r="F9" s="33" t="s">
        <v>389</v>
      </c>
      <c r="G9" s="33" t="s">
        <v>400</v>
      </c>
      <c r="H9" s="33" t="s">
        <v>394</v>
      </c>
      <c r="I9" s="34" t="s">
        <v>401</v>
      </c>
      <c r="J9" s="34"/>
      <c r="K9" s="33" t="s">
        <v>402</v>
      </c>
      <c r="L9" s="33" t="s">
        <v>393</v>
      </c>
      <c r="M9" s="34" t="s">
        <v>403</v>
      </c>
      <c r="N9" s="34"/>
      <c r="O9" s="33" t="s">
        <v>391</v>
      </c>
      <c r="P9" s="33" t="s">
        <v>395</v>
      </c>
      <c r="Q9" s="33" t="s">
        <v>69</v>
      </c>
      <c r="R9" s="34"/>
      <c r="S9" s="33">
        <v>190</v>
      </c>
      <c r="T9" s="33" t="str">
        <f>"278,7340"</f>
        <v>278,7340</v>
      </c>
      <c r="U9" s="33" t="s">
        <v>173</v>
      </c>
    </row>
    <row r="10" spans="1:21" ht="12.75">
      <c r="A10" s="35" t="s">
        <v>404</v>
      </c>
      <c r="B10" s="35" t="s">
        <v>405</v>
      </c>
      <c r="C10" s="35" t="s">
        <v>406</v>
      </c>
      <c r="D10" s="35" t="str">
        <f>"0,9826"</f>
        <v>0,9826</v>
      </c>
      <c r="E10" s="35" t="s">
        <v>399</v>
      </c>
      <c r="F10" s="35" t="s">
        <v>389</v>
      </c>
      <c r="G10" s="35" t="s">
        <v>390</v>
      </c>
      <c r="H10" s="35" t="s">
        <v>394</v>
      </c>
      <c r="I10" s="36" t="s">
        <v>391</v>
      </c>
      <c r="J10" s="36"/>
      <c r="K10" s="35" t="s">
        <v>407</v>
      </c>
      <c r="L10" s="35" t="s">
        <v>408</v>
      </c>
      <c r="M10" s="36" t="s">
        <v>409</v>
      </c>
      <c r="N10" s="36"/>
      <c r="O10" s="36" t="s">
        <v>28</v>
      </c>
      <c r="P10" s="36" t="s">
        <v>29</v>
      </c>
      <c r="Q10" s="36"/>
      <c r="R10" s="36"/>
      <c r="S10" s="35">
        <v>0</v>
      </c>
      <c r="T10" s="35" t="str">
        <f>"0,0000"</f>
        <v>0,0000</v>
      </c>
      <c r="U10" s="35" t="s">
        <v>173</v>
      </c>
    </row>
    <row r="11" spans="1:21" ht="12.75">
      <c r="A11" s="37" t="s">
        <v>410</v>
      </c>
      <c r="B11" s="37" t="s">
        <v>411</v>
      </c>
      <c r="C11" s="37" t="s">
        <v>412</v>
      </c>
      <c r="D11" s="37" t="str">
        <f>"0,9547"</f>
        <v>0,9547</v>
      </c>
      <c r="E11" s="37" t="s">
        <v>413</v>
      </c>
      <c r="F11" s="37" t="s">
        <v>27</v>
      </c>
      <c r="G11" s="37" t="s">
        <v>70</v>
      </c>
      <c r="H11" s="37" t="s">
        <v>414</v>
      </c>
      <c r="I11" s="38" t="s">
        <v>415</v>
      </c>
      <c r="J11" s="38"/>
      <c r="K11" s="37" t="s">
        <v>401</v>
      </c>
      <c r="L11" s="37" t="s">
        <v>416</v>
      </c>
      <c r="M11" s="37" t="s">
        <v>417</v>
      </c>
      <c r="N11" s="38"/>
      <c r="O11" s="37" t="s">
        <v>99</v>
      </c>
      <c r="P11" s="37" t="s">
        <v>54</v>
      </c>
      <c r="Q11" s="37" t="s">
        <v>55</v>
      </c>
      <c r="R11" s="38"/>
      <c r="S11" s="37">
        <v>320</v>
      </c>
      <c r="T11" s="37" t="str">
        <f>"305,5040"</f>
        <v>305,5040</v>
      </c>
      <c r="U11" s="37" t="s">
        <v>173</v>
      </c>
    </row>
    <row r="13" spans="1:20" ht="15">
      <c r="A13" s="62" t="s">
        <v>73</v>
      </c>
      <c r="B13" s="62"/>
      <c r="C13" s="62"/>
      <c r="D13" s="62"/>
      <c r="E13" s="62"/>
      <c r="F13" s="62"/>
      <c r="G13" s="62"/>
      <c r="H13" s="62"/>
      <c r="I13" s="62"/>
      <c r="J13" s="62"/>
      <c r="K13" s="62"/>
      <c r="L13" s="62"/>
      <c r="M13" s="62"/>
      <c r="N13" s="62"/>
      <c r="O13" s="62"/>
      <c r="P13" s="62"/>
      <c r="Q13" s="62"/>
      <c r="R13" s="62"/>
      <c r="S13" s="62"/>
      <c r="T13" s="62"/>
    </row>
    <row r="14" spans="1:21" ht="12.75">
      <c r="A14" s="33" t="s">
        <v>418</v>
      </c>
      <c r="B14" s="33" t="s">
        <v>419</v>
      </c>
      <c r="C14" s="33" t="s">
        <v>420</v>
      </c>
      <c r="D14" s="33" t="str">
        <f>"0,8844"</f>
        <v>0,8844</v>
      </c>
      <c r="E14" s="33" t="s">
        <v>399</v>
      </c>
      <c r="F14" s="33" t="s">
        <v>389</v>
      </c>
      <c r="G14" s="33" t="s">
        <v>391</v>
      </c>
      <c r="H14" s="33" t="s">
        <v>395</v>
      </c>
      <c r="I14" s="33" t="s">
        <v>70</v>
      </c>
      <c r="J14" s="34"/>
      <c r="K14" s="33" t="s">
        <v>390</v>
      </c>
      <c r="L14" s="33" t="s">
        <v>401</v>
      </c>
      <c r="M14" s="33" t="s">
        <v>421</v>
      </c>
      <c r="N14" s="34"/>
      <c r="O14" s="33" t="s">
        <v>39</v>
      </c>
      <c r="P14" s="33" t="s">
        <v>99</v>
      </c>
      <c r="Q14" s="33" t="s">
        <v>62</v>
      </c>
      <c r="R14" s="34"/>
      <c r="S14" s="33">
        <v>292.5</v>
      </c>
      <c r="T14" s="33" t="str">
        <f>"292,3163"</f>
        <v>292,3163</v>
      </c>
      <c r="U14" s="33" t="s">
        <v>173</v>
      </c>
    </row>
    <row r="15" spans="1:21" ht="12.75">
      <c r="A15" s="37" t="s">
        <v>422</v>
      </c>
      <c r="B15" s="37" t="s">
        <v>423</v>
      </c>
      <c r="C15" s="37" t="s">
        <v>424</v>
      </c>
      <c r="D15" s="37" t="str">
        <f>"0,9358"</f>
        <v>0,9358</v>
      </c>
      <c r="E15" s="37" t="s">
        <v>413</v>
      </c>
      <c r="F15" s="37" t="s">
        <v>27</v>
      </c>
      <c r="G15" s="37" t="s">
        <v>69</v>
      </c>
      <c r="H15" s="37" t="s">
        <v>20</v>
      </c>
      <c r="I15" s="37" t="s">
        <v>21</v>
      </c>
      <c r="J15" s="38"/>
      <c r="K15" s="37" t="s">
        <v>421</v>
      </c>
      <c r="L15" s="38" t="s">
        <v>395</v>
      </c>
      <c r="M15" s="38" t="s">
        <v>395</v>
      </c>
      <c r="N15" s="38"/>
      <c r="O15" s="37" t="s">
        <v>62</v>
      </c>
      <c r="P15" s="37" t="s">
        <v>63</v>
      </c>
      <c r="Q15" s="37" t="s">
        <v>55</v>
      </c>
      <c r="R15" s="38"/>
      <c r="S15" s="37">
        <v>310</v>
      </c>
      <c r="T15" s="37" t="str">
        <f>"301,7019"</f>
        <v>301,7019</v>
      </c>
      <c r="U15" s="37" t="s">
        <v>173</v>
      </c>
    </row>
    <row r="17" spans="1:20" ht="15">
      <c r="A17" s="62" t="s">
        <v>83</v>
      </c>
      <c r="B17" s="62"/>
      <c r="C17" s="62"/>
      <c r="D17" s="62"/>
      <c r="E17" s="62"/>
      <c r="F17" s="62"/>
      <c r="G17" s="62"/>
      <c r="H17" s="62"/>
      <c r="I17" s="62"/>
      <c r="J17" s="62"/>
      <c r="K17" s="62"/>
      <c r="L17" s="62"/>
      <c r="M17" s="62"/>
      <c r="N17" s="62"/>
      <c r="O17" s="62"/>
      <c r="P17" s="62"/>
      <c r="Q17" s="62"/>
      <c r="R17" s="62"/>
      <c r="S17" s="62"/>
      <c r="T17" s="62"/>
    </row>
    <row r="18" spans="1:21" ht="12.75">
      <c r="A18" s="33" t="s">
        <v>425</v>
      </c>
      <c r="B18" s="33" t="s">
        <v>426</v>
      </c>
      <c r="C18" s="33" t="s">
        <v>427</v>
      </c>
      <c r="D18" s="33" t="str">
        <f>"0,8613"</f>
        <v>0,8613</v>
      </c>
      <c r="E18" s="33" t="s">
        <v>399</v>
      </c>
      <c r="F18" s="33" t="s">
        <v>389</v>
      </c>
      <c r="G18" s="33" t="s">
        <v>20</v>
      </c>
      <c r="H18" s="33" t="s">
        <v>428</v>
      </c>
      <c r="I18" s="33" t="s">
        <v>28</v>
      </c>
      <c r="J18" s="34"/>
      <c r="K18" s="33" t="s">
        <v>391</v>
      </c>
      <c r="L18" s="33" t="s">
        <v>417</v>
      </c>
      <c r="M18" s="33" t="s">
        <v>69</v>
      </c>
      <c r="N18" s="34"/>
      <c r="O18" s="33" t="s">
        <v>30</v>
      </c>
      <c r="P18" s="34"/>
      <c r="Q18" s="34"/>
      <c r="R18" s="34"/>
      <c r="S18" s="33">
        <v>290</v>
      </c>
      <c r="T18" s="33" t="str">
        <f>"269,7592"</f>
        <v>269,7592</v>
      </c>
      <c r="U18" s="33" t="s">
        <v>173</v>
      </c>
    </row>
    <row r="19" spans="1:21" ht="12.75">
      <c r="A19" s="37" t="s">
        <v>429</v>
      </c>
      <c r="B19" s="37" t="s">
        <v>430</v>
      </c>
      <c r="C19" s="37" t="s">
        <v>431</v>
      </c>
      <c r="D19" s="37" t="str">
        <f>"0,8406"</f>
        <v>0,8406</v>
      </c>
      <c r="E19" s="37" t="s">
        <v>413</v>
      </c>
      <c r="F19" s="37" t="s">
        <v>27</v>
      </c>
      <c r="G19" s="37" t="s">
        <v>70</v>
      </c>
      <c r="H19" s="37" t="s">
        <v>414</v>
      </c>
      <c r="I19" s="37" t="s">
        <v>432</v>
      </c>
      <c r="J19" s="38"/>
      <c r="K19" s="37" t="s">
        <v>391</v>
      </c>
      <c r="L19" s="37" t="s">
        <v>395</v>
      </c>
      <c r="M19" s="37" t="s">
        <v>417</v>
      </c>
      <c r="N19" s="38"/>
      <c r="O19" s="37" t="s">
        <v>433</v>
      </c>
      <c r="P19" s="37" t="s">
        <v>139</v>
      </c>
      <c r="Q19" s="38" t="s">
        <v>434</v>
      </c>
      <c r="R19" s="38"/>
      <c r="S19" s="37">
        <v>350</v>
      </c>
      <c r="T19" s="37" t="str">
        <f>"294,2100"</f>
        <v>294,2100</v>
      </c>
      <c r="U19" s="37" t="s">
        <v>173</v>
      </c>
    </row>
    <row r="21" spans="1:20" ht="15">
      <c r="A21" s="62" t="s">
        <v>93</v>
      </c>
      <c r="B21" s="62"/>
      <c r="C21" s="62"/>
      <c r="D21" s="62"/>
      <c r="E21" s="62"/>
      <c r="F21" s="62"/>
      <c r="G21" s="62"/>
      <c r="H21" s="62"/>
      <c r="I21" s="62"/>
      <c r="J21" s="62"/>
      <c r="K21" s="62"/>
      <c r="L21" s="62"/>
      <c r="M21" s="62"/>
      <c r="N21" s="62"/>
      <c r="O21" s="62"/>
      <c r="P21" s="62"/>
      <c r="Q21" s="62"/>
      <c r="R21" s="62"/>
      <c r="S21" s="62"/>
      <c r="T21" s="62"/>
    </row>
    <row r="22" spans="1:21" ht="12.75">
      <c r="A22" s="33" t="s">
        <v>435</v>
      </c>
      <c r="B22" s="33" t="s">
        <v>436</v>
      </c>
      <c r="C22" s="33" t="s">
        <v>437</v>
      </c>
      <c r="D22" s="33" t="str">
        <f>"0,7387"</f>
        <v>0,7387</v>
      </c>
      <c r="E22" s="33" t="s">
        <v>399</v>
      </c>
      <c r="F22" s="33" t="s">
        <v>389</v>
      </c>
      <c r="G22" s="33" t="s">
        <v>28</v>
      </c>
      <c r="H22" s="33" t="s">
        <v>30</v>
      </c>
      <c r="I22" s="33" t="s">
        <v>48</v>
      </c>
      <c r="J22" s="34"/>
      <c r="K22" s="33" t="s">
        <v>391</v>
      </c>
      <c r="L22" s="34" t="s">
        <v>395</v>
      </c>
      <c r="M22" s="33" t="s">
        <v>395</v>
      </c>
      <c r="N22" s="34"/>
      <c r="O22" s="33" t="s">
        <v>54</v>
      </c>
      <c r="P22" s="33" t="s">
        <v>55</v>
      </c>
      <c r="Q22" s="33" t="s">
        <v>438</v>
      </c>
      <c r="R22" s="34"/>
      <c r="S22" s="33">
        <v>340</v>
      </c>
      <c r="T22" s="33" t="str">
        <f>"308,9243"</f>
        <v>308,9243</v>
      </c>
      <c r="U22" s="33" t="s">
        <v>173</v>
      </c>
    </row>
    <row r="23" spans="1:21" ht="12.75">
      <c r="A23" s="35" t="s">
        <v>439</v>
      </c>
      <c r="B23" s="35" t="s">
        <v>436</v>
      </c>
      <c r="C23" s="35" t="s">
        <v>440</v>
      </c>
      <c r="D23" s="35" t="str">
        <f>"0,7450"</f>
        <v>0,7450</v>
      </c>
      <c r="E23" s="35" t="s">
        <v>399</v>
      </c>
      <c r="F23" s="35" t="s">
        <v>389</v>
      </c>
      <c r="G23" s="35" t="s">
        <v>28</v>
      </c>
      <c r="H23" s="36" t="s">
        <v>29</v>
      </c>
      <c r="I23" s="36"/>
      <c r="J23" s="36"/>
      <c r="K23" s="35" t="s">
        <v>394</v>
      </c>
      <c r="L23" s="36" t="s">
        <v>391</v>
      </c>
      <c r="M23" s="36" t="s">
        <v>391</v>
      </c>
      <c r="N23" s="36"/>
      <c r="O23" s="35" t="s">
        <v>62</v>
      </c>
      <c r="P23" s="35" t="s">
        <v>63</v>
      </c>
      <c r="Q23" s="36" t="s">
        <v>55</v>
      </c>
      <c r="R23" s="36"/>
      <c r="S23" s="35">
        <v>305</v>
      </c>
      <c r="T23" s="35" t="str">
        <f>"279,4868"</f>
        <v>279,4868</v>
      </c>
      <c r="U23" s="35" t="s">
        <v>173</v>
      </c>
    </row>
    <row r="24" spans="1:21" ht="12.75">
      <c r="A24" s="35" t="s">
        <v>441</v>
      </c>
      <c r="B24" s="35" t="s">
        <v>442</v>
      </c>
      <c r="C24" s="35" t="s">
        <v>443</v>
      </c>
      <c r="D24" s="35" t="str">
        <f>"0,7915"</f>
        <v>0,7915</v>
      </c>
      <c r="E24" s="35" t="s">
        <v>399</v>
      </c>
      <c r="F24" s="35" t="s">
        <v>389</v>
      </c>
      <c r="G24" s="35" t="s">
        <v>20</v>
      </c>
      <c r="H24" s="35" t="s">
        <v>428</v>
      </c>
      <c r="I24" s="36" t="s">
        <v>28</v>
      </c>
      <c r="J24" s="36"/>
      <c r="K24" s="35" t="s">
        <v>391</v>
      </c>
      <c r="L24" s="35" t="s">
        <v>417</v>
      </c>
      <c r="M24" s="36" t="s">
        <v>69</v>
      </c>
      <c r="N24" s="36"/>
      <c r="O24" s="35" t="s">
        <v>39</v>
      </c>
      <c r="P24" s="35" t="s">
        <v>62</v>
      </c>
      <c r="Q24" s="35" t="s">
        <v>54</v>
      </c>
      <c r="R24" s="36"/>
      <c r="S24" s="35">
        <v>307.5</v>
      </c>
      <c r="T24" s="35" t="str">
        <f>"275,0265"</f>
        <v>275,0265</v>
      </c>
      <c r="U24" s="35" t="s">
        <v>173</v>
      </c>
    </row>
    <row r="25" spans="1:21" ht="12.75">
      <c r="A25" s="37" t="s">
        <v>444</v>
      </c>
      <c r="B25" s="37" t="s">
        <v>445</v>
      </c>
      <c r="C25" s="37" t="s">
        <v>446</v>
      </c>
      <c r="D25" s="37" t="str">
        <f>"0,7268"</f>
        <v>0,7268</v>
      </c>
      <c r="E25" s="37" t="s">
        <v>413</v>
      </c>
      <c r="F25" s="37" t="s">
        <v>27</v>
      </c>
      <c r="G25" s="37" t="s">
        <v>20</v>
      </c>
      <c r="H25" s="37" t="s">
        <v>21</v>
      </c>
      <c r="I25" s="37" t="s">
        <v>28</v>
      </c>
      <c r="J25" s="38"/>
      <c r="K25" s="37" t="s">
        <v>21</v>
      </c>
      <c r="L25" s="37" t="s">
        <v>414</v>
      </c>
      <c r="M25" s="38" t="s">
        <v>432</v>
      </c>
      <c r="N25" s="38"/>
      <c r="O25" s="38" t="s">
        <v>54</v>
      </c>
      <c r="P25" s="37" t="s">
        <v>54</v>
      </c>
      <c r="Q25" s="37" t="s">
        <v>63</v>
      </c>
      <c r="R25" s="38"/>
      <c r="S25" s="37">
        <v>337.5</v>
      </c>
      <c r="T25" s="37" t="str">
        <f>"250,2009"</f>
        <v>250,2009</v>
      </c>
      <c r="U25" s="37" t="s">
        <v>173</v>
      </c>
    </row>
    <row r="27" spans="1:20" ht="15">
      <c r="A27" s="62" t="s">
        <v>108</v>
      </c>
      <c r="B27" s="62"/>
      <c r="C27" s="62"/>
      <c r="D27" s="62"/>
      <c r="E27" s="62"/>
      <c r="F27" s="62"/>
      <c r="G27" s="62"/>
      <c r="H27" s="62"/>
      <c r="I27" s="62"/>
      <c r="J27" s="62"/>
      <c r="K27" s="62"/>
      <c r="L27" s="62"/>
      <c r="M27" s="62"/>
      <c r="N27" s="62"/>
      <c r="O27" s="62"/>
      <c r="P27" s="62"/>
      <c r="Q27" s="62"/>
      <c r="R27" s="62"/>
      <c r="S27" s="62"/>
      <c r="T27" s="62"/>
    </row>
    <row r="28" spans="1:21" ht="12.75">
      <c r="A28" s="33" t="s">
        <v>447</v>
      </c>
      <c r="B28" s="33" t="s">
        <v>448</v>
      </c>
      <c r="C28" s="33" t="s">
        <v>449</v>
      </c>
      <c r="D28" s="33" t="str">
        <f>"0,6931"</f>
        <v>0,6931</v>
      </c>
      <c r="E28" s="33" t="s">
        <v>399</v>
      </c>
      <c r="F28" s="33" t="s">
        <v>389</v>
      </c>
      <c r="G28" s="33" t="s">
        <v>39</v>
      </c>
      <c r="H28" s="33" t="s">
        <v>62</v>
      </c>
      <c r="I28" s="34" t="s">
        <v>54</v>
      </c>
      <c r="J28" s="34"/>
      <c r="K28" s="33" t="s">
        <v>70</v>
      </c>
      <c r="L28" s="33" t="s">
        <v>428</v>
      </c>
      <c r="M28" s="34" t="s">
        <v>28</v>
      </c>
      <c r="N28" s="34"/>
      <c r="O28" s="33" t="s">
        <v>139</v>
      </c>
      <c r="P28" s="33" t="s">
        <v>123</v>
      </c>
      <c r="Q28" s="34" t="s">
        <v>219</v>
      </c>
      <c r="R28" s="34"/>
      <c r="S28" s="33">
        <v>405</v>
      </c>
      <c r="T28" s="33" t="str">
        <f>"291,9337"</f>
        <v>291,9337</v>
      </c>
      <c r="U28" s="33" t="s">
        <v>173</v>
      </c>
    </row>
    <row r="29" spans="1:21" ht="12.75">
      <c r="A29" s="35" t="s">
        <v>450</v>
      </c>
      <c r="B29" s="35" t="s">
        <v>451</v>
      </c>
      <c r="C29" s="35" t="s">
        <v>452</v>
      </c>
      <c r="D29" s="35" t="str">
        <f>"0,7088"</f>
        <v>0,7088</v>
      </c>
      <c r="E29" s="35" t="s">
        <v>413</v>
      </c>
      <c r="F29" s="35" t="s">
        <v>27</v>
      </c>
      <c r="G29" s="35" t="s">
        <v>394</v>
      </c>
      <c r="H29" s="35" t="s">
        <v>421</v>
      </c>
      <c r="I29" s="35" t="s">
        <v>69</v>
      </c>
      <c r="J29" s="36"/>
      <c r="K29" s="35" t="s">
        <v>402</v>
      </c>
      <c r="L29" s="36" t="s">
        <v>403</v>
      </c>
      <c r="M29" s="36" t="s">
        <v>403</v>
      </c>
      <c r="N29" s="36"/>
      <c r="O29" s="35" t="s">
        <v>69</v>
      </c>
      <c r="P29" s="35" t="s">
        <v>453</v>
      </c>
      <c r="Q29" s="35" t="s">
        <v>28</v>
      </c>
      <c r="R29" s="36"/>
      <c r="S29" s="35">
        <v>220</v>
      </c>
      <c r="T29" s="35" t="str">
        <f>"165,2805"</f>
        <v>165,2805</v>
      </c>
      <c r="U29" s="35" t="s">
        <v>173</v>
      </c>
    </row>
    <row r="30" spans="1:21" ht="12.75">
      <c r="A30" s="35" t="s">
        <v>454</v>
      </c>
      <c r="B30" s="35" t="s">
        <v>455</v>
      </c>
      <c r="C30" s="35" t="s">
        <v>145</v>
      </c>
      <c r="D30" s="35" t="str">
        <f>"0,6835"</f>
        <v>0,6835</v>
      </c>
      <c r="E30" s="35" t="s">
        <v>413</v>
      </c>
      <c r="F30" s="35" t="s">
        <v>27</v>
      </c>
      <c r="G30" s="35" t="s">
        <v>70</v>
      </c>
      <c r="H30" s="35" t="s">
        <v>428</v>
      </c>
      <c r="I30" s="35" t="s">
        <v>28</v>
      </c>
      <c r="J30" s="36"/>
      <c r="K30" s="35" t="s">
        <v>428</v>
      </c>
      <c r="L30" s="35" t="s">
        <v>28</v>
      </c>
      <c r="M30" s="36" t="s">
        <v>432</v>
      </c>
      <c r="N30" s="36"/>
      <c r="O30" s="35" t="s">
        <v>63</v>
      </c>
      <c r="P30" s="35" t="s">
        <v>438</v>
      </c>
      <c r="Q30" s="36"/>
      <c r="R30" s="36"/>
      <c r="S30" s="35">
        <v>350</v>
      </c>
      <c r="T30" s="35" t="str">
        <f>"244,0095"</f>
        <v>244,0095</v>
      </c>
      <c r="U30" s="35" t="s">
        <v>173</v>
      </c>
    </row>
    <row r="31" spans="1:21" ht="12.75">
      <c r="A31" s="35" t="s">
        <v>456</v>
      </c>
      <c r="B31" s="35" t="s">
        <v>457</v>
      </c>
      <c r="C31" s="35" t="s">
        <v>458</v>
      </c>
      <c r="D31" s="35" t="str">
        <f>"0,6870"</f>
        <v>0,6870</v>
      </c>
      <c r="E31" s="35" t="s">
        <v>413</v>
      </c>
      <c r="F31" s="35" t="s">
        <v>27</v>
      </c>
      <c r="G31" s="35" t="s">
        <v>80</v>
      </c>
      <c r="H31" s="35" t="s">
        <v>62</v>
      </c>
      <c r="I31" s="35" t="s">
        <v>54</v>
      </c>
      <c r="J31" s="36"/>
      <c r="K31" s="35" t="s">
        <v>28</v>
      </c>
      <c r="L31" s="35" t="s">
        <v>29</v>
      </c>
      <c r="M31" s="36" t="s">
        <v>47</v>
      </c>
      <c r="N31" s="36"/>
      <c r="O31" s="35" t="s">
        <v>124</v>
      </c>
      <c r="P31" s="35" t="s">
        <v>140</v>
      </c>
      <c r="Q31" s="35" t="s">
        <v>219</v>
      </c>
      <c r="R31" s="36"/>
      <c r="S31" s="35">
        <v>447.5</v>
      </c>
      <c r="T31" s="35" t="str">
        <f>"307,4549"</f>
        <v>307,4549</v>
      </c>
      <c r="U31" s="35" t="s">
        <v>173</v>
      </c>
    </row>
    <row r="32" spans="1:21" ht="12.75">
      <c r="A32" s="37" t="s">
        <v>459</v>
      </c>
      <c r="B32" s="37" t="s">
        <v>460</v>
      </c>
      <c r="C32" s="37" t="s">
        <v>461</v>
      </c>
      <c r="D32" s="37" t="str">
        <f>"0,6805"</f>
        <v>0,6805</v>
      </c>
      <c r="E32" s="37" t="s">
        <v>413</v>
      </c>
      <c r="F32" s="37" t="s">
        <v>27</v>
      </c>
      <c r="G32" s="38" t="s">
        <v>28</v>
      </c>
      <c r="H32" s="38"/>
      <c r="I32" s="38"/>
      <c r="J32" s="38"/>
      <c r="K32" s="38" t="s">
        <v>69</v>
      </c>
      <c r="L32" s="38"/>
      <c r="M32" s="38"/>
      <c r="N32" s="38"/>
      <c r="O32" s="38" t="s">
        <v>55</v>
      </c>
      <c r="P32" s="38"/>
      <c r="Q32" s="38"/>
      <c r="R32" s="38"/>
      <c r="S32" s="37">
        <v>0</v>
      </c>
      <c r="T32" s="37" t="str">
        <f>"0,0000"</f>
        <v>0,0000</v>
      </c>
      <c r="U32" s="37" t="s">
        <v>173</v>
      </c>
    </row>
    <row r="34" spans="1:20" ht="15">
      <c r="A34" s="62" t="s">
        <v>178</v>
      </c>
      <c r="B34" s="62"/>
      <c r="C34" s="62"/>
      <c r="D34" s="62"/>
      <c r="E34" s="62"/>
      <c r="F34" s="62"/>
      <c r="G34" s="62"/>
      <c r="H34" s="62"/>
      <c r="I34" s="62"/>
      <c r="J34" s="62"/>
      <c r="K34" s="62"/>
      <c r="L34" s="62"/>
      <c r="M34" s="62"/>
      <c r="N34" s="62"/>
      <c r="O34" s="62"/>
      <c r="P34" s="62"/>
      <c r="Q34" s="62"/>
      <c r="R34" s="62"/>
      <c r="S34" s="62"/>
      <c r="T34" s="62"/>
    </row>
    <row r="35" spans="1:21" ht="12.75">
      <c r="A35" s="33" t="s">
        <v>462</v>
      </c>
      <c r="B35" s="33" t="s">
        <v>463</v>
      </c>
      <c r="C35" s="33" t="s">
        <v>464</v>
      </c>
      <c r="D35" s="33" t="str">
        <f>"0,6157"</f>
        <v>0,6157</v>
      </c>
      <c r="E35" s="33" t="s">
        <v>413</v>
      </c>
      <c r="F35" s="33" t="s">
        <v>27</v>
      </c>
      <c r="G35" s="33" t="s">
        <v>465</v>
      </c>
      <c r="H35" s="33" t="s">
        <v>239</v>
      </c>
      <c r="I35" s="34" t="s">
        <v>466</v>
      </c>
      <c r="J35" s="34"/>
      <c r="K35" s="34" t="s">
        <v>62</v>
      </c>
      <c r="L35" s="33" t="s">
        <v>62</v>
      </c>
      <c r="M35" s="34" t="s">
        <v>467</v>
      </c>
      <c r="N35" s="34"/>
      <c r="O35" s="33" t="s">
        <v>198</v>
      </c>
      <c r="P35" s="33" t="s">
        <v>199</v>
      </c>
      <c r="Q35" s="34" t="s">
        <v>114</v>
      </c>
      <c r="R35" s="34"/>
      <c r="S35" s="33">
        <v>510</v>
      </c>
      <c r="T35" s="33" t="str">
        <f>"320,2871"</f>
        <v>320,2871</v>
      </c>
      <c r="U35" s="33" t="s">
        <v>173</v>
      </c>
    </row>
    <row r="36" spans="1:21" ht="12.75">
      <c r="A36" s="37" t="s">
        <v>468</v>
      </c>
      <c r="B36" s="37" t="s">
        <v>469</v>
      </c>
      <c r="C36" s="37" t="s">
        <v>470</v>
      </c>
      <c r="D36" s="37" t="str">
        <f>"0,6053"</f>
        <v>0,6053</v>
      </c>
      <c r="E36" s="37" t="s">
        <v>413</v>
      </c>
      <c r="F36" s="37" t="s">
        <v>27</v>
      </c>
      <c r="G36" s="37" t="s">
        <v>275</v>
      </c>
      <c r="H36" s="38" t="s">
        <v>139</v>
      </c>
      <c r="I36" s="37" t="s">
        <v>139</v>
      </c>
      <c r="J36" s="38"/>
      <c r="K36" s="37" t="s">
        <v>30</v>
      </c>
      <c r="L36" s="37" t="s">
        <v>48</v>
      </c>
      <c r="M36" s="38" t="s">
        <v>471</v>
      </c>
      <c r="N36" s="38"/>
      <c r="O36" s="37" t="s">
        <v>113</v>
      </c>
      <c r="P36" s="38" t="s">
        <v>199</v>
      </c>
      <c r="Q36" s="38"/>
      <c r="R36" s="38"/>
      <c r="S36" s="37">
        <v>505</v>
      </c>
      <c r="T36" s="37" t="str">
        <f>"305,6513"</f>
        <v>305,6513</v>
      </c>
      <c r="U36" s="37" t="s">
        <v>173</v>
      </c>
    </row>
    <row r="38" spans="1:20" ht="15">
      <c r="A38" s="62" t="s">
        <v>206</v>
      </c>
      <c r="B38" s="62"/>
      <c r="C38" s="62"/>
      <c r="D38" s="62"/>
      <c r="E38" s="62"/>
      <c r="F38" s="62"/>
      <c r="G38" s="62"/>
      <c r="H38" s="62"/>
      <c r="I38" s="62"/>
      <c r="J38" s="62"/>
      <c r="K38" s="62"/>
      <c r="L38" s="62"/>
      <c r="M38" s="62"/>
      <c r="N38" s="62"/>
      <c r="O38" s="62"/>
      <c r="P38" s="62"/>
      <c r="Q38" s="62"/>
      <c r="R38" s="62"/>
      <c r="S38" s="62"/>
      <c r="T38" s="62"/>
    </row>
    <row r="39" spans="1:21" ht="12.75">
      <c r="A39" s="31" t="s">
        <v>472</v>
      </c>
      <c r="B39" s="31" t="s">
        <v>473</v>
      </c>
      <c r="C39" s="31" t="s">
        <v>474</v>
      </c>
      <c r="D39" s="31" t="str">
        <f>"0,5606"</f>
        <v>0,5606</v>
      </c>
      <c r="E39" s="31" t="s">
        <v>413</v>
      </c>
      <c r="F39" s="31" t="s">
        <v>27</v>
      </c>
      <c r="G39" s="32" t="s">
        <v>252</v>
      </c>
      <c r="H39" s="31" t="s">
        <v>252</v>
      </c>
      <c r="I39" s="31" t="s">
        <v>125</v>
      </c>
      <c r="J39" s="32"/>
      <c r="K39" s="31" t="s">
        <v>54</v>
      </c>
      <c r="L39" s="31" t="s">
        <v>63</v>
      </c>
      <c r="M39" s="32" t="s">
        <v>55</v>
      </c>
      <c r="N39" s="32"/>
      <c r="O39" s="31" t="s">
        <v>192</v>
      </c>
      <c r="P39" s="31" t="s">
        <v>212</v>
      </c>
      <c r="Q39" s="32" t="s">
        <v>163</v>
      </c>
      <c r="R39" s="32"/>
      <c r="S39" s="31">
        <v>580</v>
      </c>
      <c r="T39" s="31" t="str">
        <f>"325,1770"</f>
        <v>325,1770</v>
      </c>
      <c r="U39" s="31" t="s">
        <v>173</v>
      </c>
    </row>
    <row r="41" spans="1:20" ht="15">
      <c r="A41" s="62" t="s">
        <v>235</v>
      </c>
      <c r="B41" s="62"/>
      <c r="C41" s="62"/>
      <c r="D41" s="62"/>
      <c r="E41" s="62"/>
      <c r="F41" s="62"/>
      <c r="G41" s="62"/>
      <c r="H41" s="62"/>
      <c r="I41" s="62"/>
      <c r="J41" s="62"/>
      <c r="K41" s="62"/>
      <c r="L41" s="62"/>
      <c r="M41" s="62"/>
      <c r="N41" s="62"/>
      <c r="O41" s="62"/>
      <c r="P41" s="62"/>
      <c r="Q41" s="62"/>
      <c r="R41" s="62"/>
      <c r="S41" s="62"/>
      <c r="T41" s="62"/>
    </row>
    <row r="42" spans="1:21" ht="12.75">
      <c r="A42" s="31" t="s">
        <v>475</v>
      </c>
      <c r="B42" s="31" t="s">
        <v>476</v>
      </c>
      <c r="C42" s="31" t="s">
        <v>477</v>
      </c>
      <c r="D42" s="31" t="str">
        <f>"0,5417"</f>
        <v>0,5417</v>
      </c>
      <c r="E42" s="31" t="s">
        <v>68</v>
      </c>
      <c r="F42" s="31" t="s">
        <v>478</v>
      </c>
      <c r="G42" s="32" t="s">
        <v>150</v>
      </c>
      <c r="H42" s="32" t="s">
        <v>123</v>
      </c>
      <c r="I42" s="32" t="s">
        <v>123</v>
      </c>
      <c r="J42" s="32"/>
      <c r="K42" s="32" t="s">
        <v>428</v>
      </c>
      <c r="L42" s="32"/>
      <c r="M42" s="32"/>
      <c r="N42" s="32"/>
      <c r="O42" s="32" t="s">
        <v>124</v>
      </c>
      <c r="P42" s="32"/>
      <c r="Q42" s="32"/>
      <c r="R42" s="32"/>
      <c r="S42" s="31">
        <v>0</v>
      </c>
      <c r="T42" s="31" t="str">
        <f>"0,0000"</f>
        <v>0,0000</v>
      </c>
      <c r="U42" s="31" t="s">
        <v>173</v>
      </c>
    </row>
    <row r="44" spans="5:6" ht="15">
      <c r="E44" s="39" t="s">
        <v>279</v>
      </c>
      <c r="F44" s="41" t="s">
        <v>1935</v>
      </c>
    </row>
    <row r="45" spans="5:6" ht="15">
      <c r="E45" s="39" t="s">
        <v>1940</v>
      </c>
      <c r="F45" s="41" t="s">
        <v>1941</v>
      </c>
    </row>
    <row r="46" spans="5:6" ht="15">
      <c r="E46" s="39" t="s">
        <v>280</v>
      </c>
      <c r="F46" s="41" t="s">
        <v>1936</v>
      </c>
    </row>
    <row r="47" spans="5:6" ht="15">
      <c r="E47" s="39" t="s">
        <v>281</v>
      </c>
      <c r="F47" s="41" t="s">
        <v>1939</v>
      </c>
    </row>
    <row r="48" spans="5:6" ht="15">
      <c r="E48" s="39" t="s">
        <v>282</v>
      </c>
      <c r="F48" s="41" t="s">
        <v>1943</v>
      </c>
    </row>
    <row r="49" spans="5:6" ht="15">
      <c r="E49" s="39" t="s">
        <v>282</v>
      </c>
      <c r="F49" s="41" t="s">
        <v>1944</v>
      </c>
    </row>
    <row r="50" spans="5:6" ht="15">
      <c r="E50" s="39" t="s">
        <v>283</v>
      </c>
      <c r="F50" s="41" t="s">
        <v>1942</v>
      </c>
    </row>
    <row r="51" spans="5:6" ht="15">
      <c r="E51" s="39" t="s">
        <v>1937</v>
      </c>
      <c r="F51" s="41" t="s">
        <v>1938</v>
      </c>
    </row>
    <row r="52" spans="1:2" ht="18">
      <c r="A52" s="40" t="s">
        <v>284</v>
      </c>
      <c r="B52" s="40"/>
    </row>
    <row r="53" spans="1:2" ht="15">
      <c r="A53" s="42" t="s">
        <v>285</v>
      </c>
      <c r="B53" s="42"/>
    </row>
    <row r="54" spans="1:2" ht="14.25">
      <c r="A54" s="44"/>
      <c r="B54" s="45" t="s">
        <v>286</v>
      </c>
    </row>
    <row r="55" spans="1:5" ht="15">
      <c r="A55" s="46" t="s">
        <v>287</v>
      </c>
      <c r="B55" s="46" t="s">
        <v>288</v>
      </c>
      <c r="C55" s="46" t="s">
        <v>289</v>
      </c>
      <c r="D55" s="46" t="s">
        <v>290</v>
      </c>
      <c r="E55" s="46" t="s">
        <v>291</v>
      </c>
    </row>
    <row r="56" spans="1:5" ht="12.75">
      <c r="A56" s="43" t="s">
        <v>386</v>
      </c>
      <c r="B56" s="30" t="s">
        <v>479</v>
      </c>
      <c r="C56" s="30" t="s">
        <v>293</v>
      </c>
      <c r="D56" s="30" t="s">
        <v>146</v>
      </c>
      <c r="E56" s="47" t="s">
        <v>480</v>
      </c>
    </row>
    <row r="59" spans="1:2" ht="15">
      <c r="A59" s="42" t="s">
        <v>312</v>
      </c>
      <c r="B59" s="42"/>
    </row>
    <row r="60" spans="1:2" ht="14.25">
      <c r="A60" s="44"/>
      <c r="B60" s="45" t="s">
        <v>286</v>
      </c>
    </row>
    <row r="61" spans="1:5" ht="15">
      <c r="A61" s="46" t="s">
        <v>287</v>
      </c>
      <c r="B61" s="46" t="s">
        <v>288</v>
      </c>
      <c r="C61" s="46" t="s">
        <v>289</v>
      </c>
      <c r="D61" s="46" t="s">
        <v>290</v>
      </c>
      <c r="E61" s="46" t="s">
        <v>291</v>
      </c>
    </row>
    <row r="62" spans="1:5" ht="12.75">
      <c r="A62" s="43" t="s">
        <v>435</v>
      </c>
      <c r="B62" s="30" t="s">
        <v>481</v>
      </c>
      <c r="C62" s="30" t="s">
        <v>309</v>
      </c>
      <c r="D62" s="30" t="s">
        <v>482</v>
      </c>
      <c r="E62" s="47" t="s">
        <v>483</v>
      </c>
    </row>
    <row r="63" spans="1:5" ht="12.75">
      <c r="A63" s="43" t="s">
        <v>422</v>
      </c>
      <c r="B63" s="30" t="s">
        <v>479</v>
      </c>
      <c r="C63" s="30" t="s">
        <v>295</v>
      </c>
      <c r="D63" s="30" t="s">
        <v>484</v>
      </c>
      <c r="E63" s="47" t="s">
        <v>485</v>
      </c>
    </row>
    <row r="64" spans="1:5" ht="12.75">
      <c r="A64" s="43" t="s">
        <v>418</v>
      </c>
      <c r="B64" s="30" t="s">
        <v>292</v>
      </c>
      <c r="C64" s="30" t="s">
        <v>295</v>
      </c>
      <c r="D64" s="30" t="s">
        <v>486</v>
      </c>
      <c r="E64" s="47" t="s">
        <v>487</v>
      </c>
    </row>
    <row r="65" spans="1:5" ht="12.75">
      <c r="A65" s="43" t="s">
        <v>447</v>
      </c>
      <c r="B65" s="30" t="s">
        <v>479</v>
      </c>
      <c r="C65" s="30" t="s">
        <v>313</v>
      </c>
      <c r="D65" s="30" t="s">
        <v>488</v>
      </c>
      <c r="E65" s="47" t="s">
        <v>489</v>
      </c>
    </row>
    <row r="66" spans="1:5" ht="12.75">
      <c r="A66" s="43" t="s">
        <v>439</v>
      </c>
      <c r="B66" s="30" t="s">
        <v>481</v>
      </c>
      <c r="C66" s="30" t="s">
        <v>309</v>
      </c>
      <c r="D66" s="30" t="s">
        <v>490</v>
      </c>
      <c r="E66" s="47" t="s">
        <v>491</v>
      </c>
    </row>
    <row r="67" spans="1:5" ht="12.75">
      <c r="A67" s="43" t="s">
        <v>396</v>
      </c>
      <c r="B67" s="30" t="s">
        <v>481</v>
      </c>
      <c r="C67" s="30" t="s">
        <v>302</v>
      </c>
      <c r="D67" s="30" t="s">
        <v>124</v>
      </c>
      <c r="E67" s="47" t="s">
        <v>492</v>
      </c>
    </row>
    <row r="68" spans="1:5" ht="12.75">
      <c r="A68" s="43" t="s">
        <v>441</v>
      </c>
      <c r="B68" s="30" t="s">
        <v>292</v>
      </c>
      <c r="C68" s="30" t="s">
        <v>309</v>
      </c>
      <c r="D68" s="30" t="s">
        <v>493</v>
      </c>
      <c r="E68" s="47" t="s">
        <v>494</v>
      </c>
    </row>
    <row r="69" spans="1:5" ht="12.75">
      <c r="A69" s="43" t="s">
        <v>425</v>
      </c>
      <c r="B69" s="30" t="s">
        <v>292</v>
      </c>
      <c r="C69" s="30" t="s">
        <v>306</v>
      </c>
      <c r="D69" s="30" t="s">
        <v>495</v>
      </c>
      <c r="E69" s="47" t="s">
        <v>496</v>
      </c>
    </row>
    <row r="70" spans="1:5" ht="12.75">
      <c r="A70" s="43" t="s">
        <v>450</v>
      </c>
      <c r="B70" s="30" t="s">
        <v>479</v>
      </c>
      <c r="C70" s="30" t="s">
        <v>313</v>
      </c>
      <c r="D70" s="30" t="s">
        <v>113</v>
      </c>
      <c r="E70" s="47" t="s">
        <v>497</v>
      </c>
    </row>
    <row r="72" spans="1:2" ht="14.25">
      <c r="A72" s="44"/>
      <c r="B72" s="45" t="s">
        <v>297</v>
      </c>
    </row>
    <row r="73" spans="1:5" ht="15">
      <c r="A73" s="46" t="s">
        <v>287</v>
      </c>
      <c r="B73" s="46" t="s">
        <v>288</v>
      </c>
      <c r="C73" s="46" t="s">
        <v>289</v>
      </c>
      <c r="D73" s="46" t="s">
        <v>290</v>
      </c>
      <c r="E73" s="46" t="s">
        <v>291</v>
      </c>
    </row>
    <row r="74" spans="1:5" ht="12.75">
      <c r="A74" s="43" t="s">
        <v>462</v>
      </c>
      <c r="B74" s="30" t="s">
        <v>298</v>
      </c>
      <c r="C74" s="30" t="s">
        <v>323</v>
      </c>
      <c r="D74" s="30" t="s">
        <v>498</v>
      </c>
      <c r="E74" s="47" t="s">
        <v>499</v>
      </c>
    </row>
    <row r="75" spans="1:5" ht="12.75">
      <c r="A75" s="43" t="s">
        <v>410</v>
      </c>
      <c r="B75" s="30" t="s">
        <v>298</v>
      </c>
      <c r="C75" s="30" t="s">
        <v>302</v>
      </c>
      <c r="D75" s="30" t="s">
        <v>500</v>
      </c>
      <c r="E75" s="47" t="s">
        <v>501</v>
      </c>
    </row>
    <row r="76" spans="1:5" ht="12.75">
      <c r="A76" s="43" t="s">
        <v>444</v>
      </c>
      <c r="B76" s="30" t="s">
        <v>298</v>
      </c>
      <c r="C76" s="30" t="s">
        <v>309</v>
      </c>
      <c r="D76" s="30" t="s">
        <v>502</v>
      </c>
      <c r="E76" s="47" t="s">
        <v>503</v>
      </c>
    </row>
    <row r="77" spans="1:5" ht="12.75">
      <c r="A77" s="43" t="s">
        <v>454</v>
      </c>
      <c r="B77" s="30" t="s">
        <v>298</v>
      </c>
      <c r="C77" s="30" t="s">
        <v>313</v>
      </c>
      <c r="D77" s="30" t="s">
        <v>504</v>
      </c>
      <c r="E77" s="47" t="s">
        <v>505</v>
      </c>
    </row>
    <row r="79" spans="1:2" ht="14.25">
      <c r="A79" s="44"/>
      <c r="B79" s="45" t="s">
        <v>301</v>
      </c>
    </row>
    <row r="80" spans="1:5" ht="15">
      <c r="A80" s="46" t="s">
        <v>287</v>
      </c>
      <c r="B80" s="46" t="s">
        <v>288</v>
      </c>
      <c r="C80" s="46" t="s">
        <v>289</v>
      </c>
      <c r="D80" s="46" t="s">
        <v>290</v>
      </c>
      <c r="E80" s="46" t="s">
        <v>291</v>
      </c>
    </row>
    <row r="81" spans="1:5" ht="12.75">
      <c r="A81" s="43" t="s">
        <v>472</v>
      </c>
      <c r="B81" s="30" t="s">
        <v>301</v>
      </c>
      <c r="C81" s="30" t="s">
        <v>315</v>
      </c>
      <c r="D81" s="30" t="s">
        <v>506</v>
      </c>
      <c r="E81" s="47" t="s">
        <v>507</v>
      </c>
    </row>
    <row r="82" spans="1:5" ht="12.75">
      <c r="A82" s="43" t="s">
        <v>456</v>
      </c>
      <c r="B82" s="30" t="s">
        <v>301</v>
      </c>
      <c r="C82" s="30" t="s">
        <v>313</v>
      </c>
      <c r="D82" s="30" t="s">
        <v>508</v>
      </c>
      <c r="E82" s="47" t="s">
        <v>509</v>
      </c>
    </row>
    <row r="83" spans="1:5" ht="12.75">
      <c r="A83" s="43" t="s">
        <v>468</v>
      </c>
      <c r="B83" s="30" t="s">
        <v>301</v>
      </c>
      <c r="C83" s="30" t="s">
        <v>323</v>
      </c>
      <c r="D83" s="30" t="s">
        <v>510</v>
      </c>
      <c r="E83" s="47" t="s">
        <v>511</v>
      </c>
    </row>
    <row r="84" spans="1:5" ht="12.75">
      <c r="A84" s="43" t="s">
        <v>429</v>
      </c>
      <c r="B84" s="30" t="s">
        <v>301</v>
      </c>
      <c r="C84" s="30" t="s">
        <v>306</v>
      </c>
      <c r="D84" s="30" t="s">
        <v>504</v>
      </c>
      <c r="E84" s="47" t="s">
        <v>512</v>
      </c>
    </row>
  </sheetData>
  <sheetProtection/>
  <mergeCells count="22">
    <mergeCell ref="A17:T17"/>
    <mergeCell ref="A21:T21"/>
    <mergeCell ref="A27:T27"/>
    <mergeCell ref="A34:T34"/>
    <mergeCell ref="A38:T38"/>
    <mergeCell ref="A41:T41"/>
    <mergeCell ref="S3:S4"/>
    <mergeCell ref="T3:T4"/>
    <mergeCell ref="U3:U4"/>
    <mergeCell ref="A5:T5"/>
    <mergeCell ref="A8:T8"/>
    <mergeCell ref="A13:T13"/>
    <mergeCell ref="A1:U2"/>
    <mergeCell ref="A3:A4"/>
    <mergeCell ref="B3:B4"/>
    <mergeCell ref="C3:C4"/>
    <mergeCell ref="D3:D4"/>
    <mergeCell ref="E3:E4"/>
    <mergeCell ref="F3:F4"/>
    <mergeCell ref="G3:J3"/>
    <mergeCell ref="K3:N3"/>
    <mergeCell ref="O3:R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M166"/>
  <sheetViews>
    <sheetView zoomScalePageLayoutView="0" workbookViewId="0" topLeftCell="A1">
      <selection activeCell="A1" sqref="A1:M2"/>
    </sheetView>
  </sheetViews>
  <sheetFormatPr defaultColWidth="9.00390625" defaultRowHeight="12.75"/>
  <cols>
    <col min="1" max="1" width="34.625" style="4" bestFit="1" customWidth="1"/>
    <col min="2" max="2" width="29.375" style="1" bestFit="1" customWidth="1"/>
    <col min="3" max="3" width="12.375" style="1" customWidth="1"/>
    <col min="4" max="4" width="10.625" style="1" bestFit="1" customWidth="1"/>
    <col min="5" max="5" width="22.75390625" style="5" bestFit="1" customWidth="1"/>
    <col min="6" max="6" width="34.125" style="5" bestFit="1" customWidth="1"/>
    <col min="7" max="9" width="5.625" style="1" bestFit="1" customWidth="1"/>
    <col min="10" max="10" width="4.625" style="1" bestFit="1" customWidth="1"/>
    <col min="11" max="11" width="7.875" style="4" bestFit="1" customWidth="1"/>
    <col min="12" max="12" width="8.625" style="1" bestFit="1" customWidth="1"/>
    <col min="13" max="13" width="24.25390625" style="5" bestFit="1" customWidth="1"/>
    <col min="14" max="16384" width="9.125" style="1" customWidth="1"/>
  </cols>
  <sheetData>
    <row r="1" spans="1:13" ht="15" customHeight="1">
      <c r="A1" s="48" t="s">
        <v>12</v>
      </c>
      <c r="B1" s="49"/>
      <c r="C1" s="49"/>
      <c r="D1" s="49"/>
      <c r="E1" s="49"/>
      <c r="F1" s="49"/>
      <c r="G1" s="49"/>
      <c r="H1" s="49"/>
      <c r="I1" s="49"/>
      <c r="J1" s="49"/>
      <c r="K1" s="49"/>
      <c r="L1" s="49"/>
      <c r="M1" s="50"/>
    </row>
    <row r="2" spans="1:13"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3</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5" t="s">
        <v>14</v>
      </c>
      <c r="B5" s="66"/>
      <c r="C5" s="66"/>
      <c r="D5" s="66"/>
      <c r="E5" s="66"/>
      <c r="F5" s="66"/>
      <c r="G5" s="66"/>
      <c r="H5" s="66"/>
      <c r="I5" s="66"/>
      <c r="J5" s="66"/>
      <c r="K5" s="65"/>
      <c r="L5" s="66"/>
    </row>
    <row r="6" spans="1:13" ht="12.75">
      <c r="A6" s="6" t="s">
        <v>15</v>
      </c>
      <c r="B6" s="7" t="s">
        <v>16</v>
      </c>
      <c r="C6" s="7" t="s">
        <v>17</v>
      </c>
      <c r="D6" s="7" t="str">
        <f>"1,1568"</f>
        <v>1,1568</v>
      </c>
      <c r="E6" s="8" t="s">
        <v>18</v>
      </c>
      <c r="F6" s="8" t="s">
        <v>19</v>
      </c>
      <c r="G6" s="7" t="s">
        <v>20</v>
      </c>
      <c r="H6" s="9" t="s">
        <v>21</v>
      </c>
      <c r="I6" s="9" t="s">
        <v>21</v>
      </c>
      <c r="J6" s="9"/>
      <c r="K6" s="6" t="s">
        <v>22</v>
      </c>
      <c r="L6" s="7" t="str">
        <f>"100,2946"</f>
        <v>100,2946</v>
      </c>
      <c r="M6" s="8" t="s">
        <v>23</v>
      </c>
    </row>
    <row r="7" spans="1:13" ht="12.75">
      <c r="A7" s="10" t="s">
        <v>24</v>
      </c>
      <c r="B7" s="11" t="s">
        <v>25</v>
      </c>
      <c r="C7" s="11" t="s">
        <v>17</v>
      </c>
      <c r="D7" s="11" t="str">
        <f>"1,1568"</f>
        <v>1,1568</v>
      </c>
      <c r="E7" s="12" t="s">
        <v>26</v>
      </c>
      <c r="F7" s="12" t="s">
        <v>27</v>
      </c>
      <c r="G7" s="11" t="s">
        <v>28</v>
      </c>
      <c r="H7" s="11" t="s">
        <v>29</v>
      </c>
      <c r="I7" s="11" t="s">
        <v>30</v>
      </c>
      <c r="J7" s="13"/>
      <c r="K7" s="10" t="s">
        <v>31</v>
      </c>
      <c r="L7" s="11" t="str">
        <f>"127,2480"</f>
        <v>127,2480</v>
      </c>
      <c r="M7" s="12" t="s">
        <v>32</v>
      </c>
    </row>
    <row r="9" spans="1:12" ht="15">
      <c r="A9" s="63" t="s">
        <v>33</v>
      </c>
      <c r="B9" s="64"/>
      <c r="C9" s="64"/>
      <c r="D9" s="64"/>
      <c r="E9" s="64"/>
      <c r="F9" s="64"/>
      <c r="G9" s="64"/>
      <c r="H9" s="64"/>
      <c r="I9" s="64"/>
      <c r="J9" s="64"/>
      <c r="K9" s="63"/>
      <c r="L9" s="64"/>
    </row>
    <row r="10" spans="1:13" ht="12.75">
      <c r="A10" s="6" t="s">
        <v>34</v>
      </c>
      <c r="B10" s="7" t="s">
        <v>35</v>
      </c>
      <c r="C10" s="7" t="s">
        <v>36</v>
      </c>
      <c r="D10" s="7" t="str">
        <f>"1,0396"</f>
        <v>1,0396</v>
      </c>
      <c r="E10" s="8" t="s">
        <v>37</v>
      </c>
      <c r="F10" s="8" t="s">
        <v>38</v>
      </c>
      <c r="G10" s="7" t="s">
        <v>30</v>
      </c>
      <c r="H10" s="7" t="s">
        <v>39</v>
      </c>
      <c r="I10" s="9"/>
      <c r="J10" s="9"/>
      <c r="K10" s="6" t="s">
        <v>40</v>
      </c>
      <c r="L10" s="7" t="str">
        <f>"140,9765"</f>
        <v>140,9765</v>
      </c>
      <c r="M10" s="8" t="s">
        <v>41</v>
      </c>
    </row>
    <row r="11" spans="1:13" ht="12.75">
      <c r="A11" s="10" t="s">
        <v>42</v>
      </c>
      <c r="B11" s="11" t="s">
        <v>43</v>
      </c>
      <c r="C11" s="11" t="s">
        <v>44</v>
      </c>
      <c r="D11" s="11" t="str">
        <f>"1,0353"</f>
        <v>1,0353</v>
      </c>
      <c r="E11" s="12" t="s">
        <v>45</v>
      </c>
      <c r="F11" s="12" t="s">
        <v>46</v>
      </c>
      <c r="G11" s="11" t="s">
        <v>47</v>
      </c>
      <c r="H11" s="11" t="s">
        <v>48</v>
      </c>
      <c r="I11" s="11" t="s">
        <v>39</v>
      </c>
      <c r="J11" s="13"/>
      <c r="K11" s="10" t="s">
        <v>40</v>
      </c>
      <c r="L11" s="11" t="str">
        <f>"124,2360"</f>
        <v>124,2360</v>
      </c>
      <c r="M11" s="12" t="s">
        <v>49</v>
      </c>
    </row>
    <row r="13" spans="1:12" ht="15">
      <c r="A13" s="63" t="s">
        <v>50</v>
      </c>
      <c r="B13" s="64"/>
      <c r="C13" s="64"/>
      <c r="D13" s="64"/>
      <c r="E13" s="64"/>
      <c r="F13" s="64"/>
      <c r="G13" s="64"/>
      <c r="H13" s="64"/>
      <c r="I13" s="64"/>
      <c r="J13" s="64"/>
      <c r="K13" s="63"/>
      <c r="L13" s="64"/>
    </row>
    <row r="14" spans="1:13" ht="12.75">
      <c r="A14" s="6" t="s">
        <v>51</v>
      </c>
      <c r="B14" s="7" t="s">
        <v>52</v>
      </c>
      <c r="C14" s="7" t="s">
        <v>53</v>
      </c>
      <c r="D14" s="7" t="str">
        <f>"0,9701"</f>
        <v>0,9701</v>
      </c>
      <c r="E14" s="8" t="s">
        <v>26</v>
      </c>
      <c r="F14" s="8" t="s">
        <v>27</v>
      </c>
      <c r="G14" s="7" t="s">
        <v>54</v>
      </c>
      <c r="H14" s="7" t="s">
        <v>55</v>
      </c>
      <c r="I14" s="9"/>
      <c r="J14" s="9"/>
      <c r="K14" s="6" t="s">
        <v>56</v>
      </c>
      <c r="L14" s="7" t="str">
        <f>"140,6645"</f>
        <v>140,6645</v>
      </c>
      <c r="M14" s="8" t="s">
        <v>57</v>
      </c>
    </row>
    <row r="15" spans="1:13" ht="12.75">
      <c r="A15" s="15" t="s">
        <v>58</v>
      </c>
      <c r="B15" s="16" t="s">
        <v>59</v>
      </c>
      <c r="C15" s="16" t="s">
        <v>60</v>
      </c>
      <c r="D15" s="16" t="str">
        <f>"1,0090"</f>
        <v>1,0090</v>
      </c>
      <c r="E15" s="17" t="s">
        <v>61</v>
      </c>
      <c r="F15" s="17" t="s">
        <v>46</v>
      </c>
      <c r="G15" s="16" t="s">
        <v>62</v>
      </c>
      <c r="H15" s="16" t="s">
        <v>63</v>
      </c>
      <c r="I15" s="18" t="s">
        <v>55</v>
      </c>
      <c r="J15" s="18"/>
      <c r="K15" s="15" t="s">
        <v>64</v>
      </c>
      <c r="L15" s="16" t="str">
        <f>"141,2600"</f>
        <v>141,2600</v>
      </c>
      <c r="M15" s="17" t="s">
        <v>49</v>
      </c>
    </row>
    <row r="16" spans="1:13" ht="12.75">
      <c r="A16" s="10" t="s">
        <v>65</v>
      </c>
      <c r="B16" s="11" t="s">
        <v>66</v>
      </c>
      <c r="C16" s="11" t="s">
        <v>67</v>
      </c>
      <c r="D16" s="11" t="str">
        <f>"0,9786"</f>
        <v>0,9786</v>
      </c>
      <c r="E16" s="12" t="s">
        <v>68</v>
      </c>
      <c r="F16" s="12" t="s">
        <v>19</v>
      </c>
      <c r="G16" s="11" t="s">
        <v>69</v>
      </c>
      <c r="H16" s="11" t="s">
        <v>20</v>
      </c>
      <c r="I16" s="11" t="s">
        <v>70</v>
      </c>
      <c r="J16" s="13"/>
      <c r="K16" s="10" t="s">
        <v>71</v>
      </c>
      <c r="L16" s="11" t="str">
        <f>"88,0695"</f>
        <v>88,0695</v>
      </c>
      <c r="M16" s="12" t="s">
        <v>72</v>
      </c>
    </row>
    <row r="18" spans="1:12" ht="15">
      <c r="A18" s="63" t="s">
        <v>73</v>
      </c>
      <c r="B18" s="64"/>
      <c r="C18" s="64"/>
      <c r="D18" s="64"/>
      <c r="E18" s="64"/>
      <c r="F18" s="64"/>
      <c r="G18" s="64"/>
      <c r="H18" s="64"/>
      <c r="I18" s="64"/>
      <c r="J18" s="64"/>
      <c r="K18" s="63"/>
      <c r="L18" s="64"/>
    </row>
    <row r="19" spans="1:13" ht="12.75">
      <c r="A19" s="19" t="s">
        <v>74</v>
      </c>
      <c r="B19" s="20" t="s">
        <v>75</v>
      </c>
      <c r="C19" s="20" t="s">
        <v>76</v>
      </c>
      <c r="D19" s="20" t="str">
        <f>"0,9147"</f>
        <v>0,9147</v>
      </c>
      <c r="E19" s="21" t="s">
        <v>77</v>
      </c>
      <c r="F19" s="21" t="s">
        <v>78</v>
      </c>
      <c r="G19" s="20" t="s">
        <v>47</v>
      </c>
      <c r="H19" s="20" t="s">
        <v>79</v>
      </c>
      <c r="I19" s="20" t="s">
        <v>80</v>
      </c>
      <c r="J19" s="22"/>
      <c r="K19" s="19" t="s">
        <v>81</v>
      </c>
      <c r="L19" s="20" t="str">
        <f>"121,0082"</f>
        <v>121,0082</v>
      </c>
      <c r="M19" s="21" t="s">
        <v>82</v>
      </c>
    </row>
    <row r="21" spans="1:12" ht="15">
      <c r="A21" s="63" t="s">
        <v>83</v>
      </c>
      <c r="B21" s="64"/>
      <c r="C21" s="64"/>
      <c r="D21" s="64"/>
      <c r="E21" s="64"/>
      <c r="F21" s="64"/>
      <c r="G21" s="64"/>
      <c r="H21" s="64"/>
      <c r="I21" s="64"/>
      <c r="J21" s="64"/>
      <c r="K21" s="63"/>
      <c r="L21" s="64"/>
    </row>
    <row r="22" spans="1:13" ht="12.75">
      <c r="A22" s="6" t="s">
        <v>84</v>
      </c>
      <c r="B22" s="7" t="s">
        <v>85</v>
      </c>
      <c r="C22" s="7" t="s">
        <v>86</v>
      </c>
      <c r="D22" s="7" t="str">
        <f>"0,8628"</f>
        <v>0,8628</v>
      </c>
      <c r="E22" s="8" t="s">
        <v>26</v>
      </c>
      <c r="F22" s="8" t="s">
        <v>27</v>
      </c>
      <c r="G22" s="7" t="s">
        <v>54</v>
      </c>
      <c r="H22" s="9" t="s">
        <v>55</v>
      </c>
      <c r="I22" s="7" t="s">
        <v>55</v>
      </c>
      <c r="J22" s="9"/>
      <c r="K22" s="6" t="s">
        <v>56</v>
      </c>
      <c r="L22" s="7" t="str">
        <f>"125,1060"</f>
        <v>125,1060</v>
      </c>
      <c r="M22" s="8" t="s">
        <v>87</v>
      </c>
    </row>
    <row r="23" spans="1:13" ht="12.75">
      <c r="A23" s="10" t="s">
        <v>88</v>
      </c>
      <c r="B23" s="11" t="s">
        <v>89</v>
      </c>
      <c r="C23" s="11" t="s">
        <v>90</v>
      </c>
      <c r="D23" s="11" t="str">
        <f>"0,8744"</f>
        <v>0,8744</v>
      </c>
      <c r="E23" s="12" t="s">
        <v>61</v>
      </c>
      <c r="F23" s="12" t="s">
        <v>46</v>
      </c>
      <c r="G23" s="13" t="s">
        <v>48</v>
      </c>
      <c r="H23" s="13" t="s">
        <v>48</v>
      </c>
      <c r="I23" s="13"/>
      <c r="J23" s="13"/>
      <c r="K23" s="10" t="s">
        <v>91</v>
      </c>
      <c r="L23" s="11" t="str">
        <f>"0,0000"</f>
        <v>0,0000</v>
      </c>
      <c r="M23" s="12" t="s">
        <v>92</v>
      </c>
    </row>
    <row r="25" spans="1:12" ht="15">
      <c r="A25" s="63" t="s">
        <v>93</v>
      </c>
      <c r="B25" s="64"/>
      <c r="C25" s="64"/>
      <c r="D25" s="64"/>
      <c r="E25" s="64"/>
      <c r="F25" s="64"/>
      <c r="G25" s="64"/>
      <c r="H25" s="64"/>
      <c r="I25" s="64"/>
      <c r="J25" s="64"/>
      <c r="K25" s="63"/>
      <c r="L25" s="64"/>
    </row>
    <row r="26" spans="1:13" ht="12.75">
      <c r="A26" s="19" t="s">
        <v>94</v>
      </c>
      <c r="B26" s="20" t="s">
        <v>95</v>
      </c>
      <c r="C26" s="20" t="s">
        <v>96</v>
      </c>
      <c r="D26" s="20" t="str">
        <f>"0,7893"</f>
        <v>0,7893</v>
      </c>
      <c r="E26" s="21" t="s">
        <v>97</v>
      </c>
      <c r="F26" s="21" t="s">
        <v>98</v>
      </c>
      <c r="G26" s="20" t="s">
        <v>30</v>
      </c>
      <c r="H26" s="20" t="s">
        <v>39</v>
      </c>
      <c r="I26" s="20" t="s">
        <v>99</v>
      </c>
      <c r="J26" s="22"/>
      <c r="K26" s="19" t="s">
        <v>100</v>
      </c>
      <c r="L26" s="20" t="str">
        <f>"98,6563"</f>
        <v>98,6563</v>
      </c>
      <c r="M26" s="21" t="s">
        <v>101</v>
      </c>
    </row>
    <row r="28" spans="1:12" ht="15">
      <c r="A28" s="63" t="s">
        <v>73</v>
      </c>
      <c r="B28" s="64"/>
      <c r="C28" s="64"/>
      <c r="D28" s="64"/>
      <c r="E28" s="64"/>
      <c r="F28" s="64"/>
      <c r="G28" s="64"/>
      <c r="H28" s="64"/>
      <c r="I28" s="64"/>
      <c r="J28" s="64"/>
      <c r="K28" s="63"/>
      <c r="L28" s="64"/>
    </row>
    <row r="29" spans="1:13" ht="12.75">
      <c r="A29" s="19" t="s">
        <v>102</v>
      </c>
      <c r="B29" s="20" t="s">
        <v>103</v>
      </c>
      <c r="C29" s="20" t="s">
        <v>104</v>
      </c>
      <c r="D29" s="20" t="str">
        <f>"0,8835"</f>
        <v>0,8835</v>
      </c>
      <c r="E29" s="21" t="s">
        <v>105</v>
      </c>
      <c r="F29" s="21" t="s">
        <v>106</v>
      </c>
      <c r="G29" s="22" t="s">
        <v>99</v>
      </c>
      <c r="H29" s="20" t="s">
        <v>99</v>
      </c>
      <c r="I29" s="22" t="s">
        <v>54</v>
      </c>
      <c r="J29" s="22"/>
      <c r="K29" s="19" t="s">
        <v>100</v>
      </c>
      <c r="L29" s="20" t="str">
        <f>"110,4375"</f>
        <v>110,4375</v>
      </c>
      <c r="M29" s="21" t="s">
        <v>107</v>
      </c>
    </row>
    <row r="31" spans="1:12" ht="15">
      <c r="A31" s="63" t="s">
        <v>108</v>
      </c>
      <c r="B31" s="64"/>
      <c r="C31" s="64"/>
      <c r="D31" s="64"/>
      <c r="E31" s="64"/>
      <c r="F31" s="64"/>
      <c r="G31" s="64"/>
      <c r="H31" s="64"/>
      <c r="I31" s="64"/>
      <c r="J31" s="64"/>
      <c r="K31" s="63"/>
      <c r="L31" s="64"/>
    </row>
    <row r="32" spans="1:13" ht="12.75">
      <c r="A32" s="6" t="s">
        <v>109</v>
      </c>
      <c r="B32" s="7" t="s">
        <v>110</v>
      </c>
      <c r="C32" s="7" t="s">
        <v>111</v>
      </c>
      <c r="D32" s="7" t="str">
        <f>"0,6645"</f>
        <v>0,6645</v>
      </c>
      <c r="E32" s="8" t="s">
        <v>112</v>
      </c>
      <c r="F32" s="8" t="s">
        <v>38</v>
      </c>
      <c r="G32" s="7" t="s">
        <v>113</v>
      </c>
      <c r="H32" s="7" t="s">
        <v>114</v>
      </c>
      <c r="I32" s="7" t="s">
        <v>115</v>
      </c>
      <c r="J32" s="9"/>
      <c r="K32" s="6" t="s">
        <v>116</v>
      </c>
      <c r="L32" s="7" t="str">
        <f>"169,3678"</f>
        <v>169,3678</v>
      </c>
      <c r="M32" s="8" t="s">
        <v>41</v>
      </c>
    </row>
    <row r="33" spans="1:13" ht="12.75">
      <c r="A33" s="15" t="s">
        <v>117</v>
      </c>
      <c r="B33" s="16" t="s">
        <v>118</v>
      </c>
      <c r="C33" s="16" t="s">
        <v>119</v>
      </c>
      <c r="D33" s="16" t="str">
        <f>"0,6752"</f>
        <v>0,6752</v>
      </c>
      <c r="E33" s="17" t="s">
        <v>120</v>
      </c>
      <c r="F33" s="17" t="s">
        <v>121</v>
      </c>
      <c r="G33" s="16" t="s">
        <v>123</v>
      </c>
      <c r="H33" s="16" t="s">
        <v>124</v>
      </c>
      <c r="I33" s="18" t="s">
        <v>125</v>
      </c>
      <c r="J33" s="18"/>
      <c r="K33" s="15" t="s">
        <v>126</v>
      </c>
      <c r="L33" s="16" t="str">
        <f>"128,2880"</f>
        <v>128,2880</v>
      </c>
      <c r="M33" s="17" t="s">
        <v>49</v>
      </c>
    </row>
    <row r="34" spans="1:13" ht="12.75">
      <c r="A34" s="15" t="s">
        <v>127</v>
      </c>
      <c r="B34" s="16" t="s">
        <v>128</v>
      </c>
      <c r="C34" s="16" t="s">
        <v>129</v>
      </c>
      <c r="D34" s="16" t="str">
        <f>"0,6687"</f>
        <v>0,6687</v>
      </c>
      <c r="E34" s="17" t="s">
        <v>130</v>
      </c>
      <c r="F34" s="17" t="s">
        <v>131</v>
      </c>
      <c r="G34" s="16" t="s">
        <v>125</v>
      </c>
      <c r="H34" s="18" t="s">
        <v>132</v>
      </c>
      <c r="I34" s="18"/>
      <c r="J34" s="18"/>
      <c r="K34" s="15" t="s">
        <v>133</v>
      </c>
      <c r="L34" s="16" t="str">
        <f>"137,0835"</f>
        <v>137,0835</v>
      </c>
      <c r="M34" s="17" t="s">
        <v>134</v>
      </c>
    </row>
    <row r="35" spans="1:13" ht="12.75">
      <c r="A35" s="15" t="s">
        <v>135</v>
      </c>
      <c r="B35" s="16" t="s">
        <v>136</v>
      </c>
      <c r="C35" s="16" t="s">
        <v>137</v>
      </c>
      <c r="D35" s="16" t="str">
        <f>"0,6716"</f>
        <v>0,6716</v>
      </c>
      <c r="E35" s="17" t="s">
        <v>138</v>
      </c>
      <c r="F35" s="17" t="s">
        <v>27</v>
      </c>
      <c r="G35" s="18" t="s">
        <v>139</v>
      </c>
      <c r="H35" s="16" t="s">
        <v>123</v>
      </c>
      <c r="I35" s="18" t="s">
        <v>140</v>
      </c>
      <c r="J35" s="18"/>
      <c r="K35" s="15" t="s">
        <v>141</v>
      </c>
      <c r="L35" s="16" t="str">
        <f>"120,8880"</f>
        <v>120,8880</v>
      </c>
      <c r="M35" s="17" t="s">
        <v>142</v>
      </c>
    </row>
    <row r="36" spans="1:13" ht="12.75">
      <c r="A36" s="15" t="s">
        <v>143</v>
      </c>
      <c r="B36" s="16" t="s">
        <v>144</v>
      </c>
      <c r="C36" s="16" t="s">
        <v>145</v>
      </c>
      <c r="D36" s="16" t="str">
        <f>"0,6835"</f>
        <v>0,6835</v>
      </c>
      <c r="E36" s="17" t="s">
        <v>26</v>
      </c>
      <c r="F36" s="17" t="s">
        <v>27</v>
      </c>
      <c r="G36" s="18" t="s">
        <v>146</v>
      </c>
      <c r="H36" s="18" t="s">
        <v>146</v>
      </c>
      <c r="I36" s="18" t="s">
        <v>146</v>
      </c>
      <c r="J36" s="18"/>
      <c r="K36" s="15" t="s">
        <v>91</v>
      </c>
      <c r="L36" s="16" t="str">
        <f>"0,0000"</f>
        <v>0,0000</v>
      </c>
      <c r="M36" s="17" t="s">
        <v>49</v>
      </c>
    </row>
    <row r="37" spans="1:13" ht="12.75">
      <c r="A37" s="10" t="s">
        <v>147</v>
      </c>
      <c r="B37" s="11" t="s">
        <v>148</v>
      </c>
      <c r="C37" s="11" t="s">
        <v>129</v>
      </c>
      <c r="D37" s="11" t="str">
        <f>"0,6687"</f>
        <v>0,6687</v>
      </c>
      <c r="E37" s="12" t="s">
        <v>149</v>
      </c>
      <c r="F37" s="12" t="s">
        <v>27</v>
      </c>
      <c r="G37" s="13" t="s">
        <v>150</v>
      </c>
      <c r="H37" s="13" t="s">
        <v>150</v>
      </c>
      <c r="I37" s="13" t="s">
        <v>150</v>
      </c>
      <c r="J37" s="13"/>
      <c r="K37" s="10" t="s">
        <v>91</v>
      </c>
      <c r="L37" s="11" t="str">
        <f>"0,0000"</f>
        <v>0,0000</v>
      </c>
      <c r="M37" s="12" t="s">
        <v>151</v>
      </c>
    </row>
    <row r="39" spans="1:12" ht="15">
      <c r="A39" s="63" t="s">
        <v>152</v>
      </c>
      <c r="B39" s="64"/>
      <c r="C39" s="64"/>
      <c r="D39" s="64"/>
      <c r="E39" s="64"/>
      <c r="F39" s="64"/>
      <c r="G39" s="64"/>
      <c r="H39" s="64"/>
      <c r="I39" s="64"/>
      <c r="J39" s="64"/>
      <c r="K39" s="63"/>
      <c r="L39" s="64"/>
    </row>
    <row r="40" spans="1:13" ht="12.75">
      <c r="A40" s="6" t="s">
        <v>153</v>
      </c>
      <c r="B40" s="7" t="s">
        <v>154</v>
      </c>
      <c r="C40" s="7" t="s">
        <v>155</v>
      </c>
      <c r="D40" s="7" t="str">
        <f>"0,6514"</f>
        <v>0,6514</v>
      </c>
      <c r="E40" s="8" t="s">
        <v>26</v>
      </c>
      <c r="F40" s="8" t="s">
        <v>27</v>
      </c>
      <c r="G40" s="7" t="s">
        <v>150</v>
      </c>
      <c r="H40" s="9" t="s">
        <v>156</v>
      </c>
      <c r="I40" s="9" t="s">
        <v>156</v>
      </c>
      <c r="J40" s="9"/>
      <c r="K40" s="6" t="s">
        <v>157</v>
      </c>
      <c r="L40" s="7" t="str">
        <f>"123,1146"</f>
        <v>123,1146</v>
      </c>
      <c r="M40" s="8" t="s">
        <v>158</v>
      </c>
    </row>
    <row r="41" spans="1:13" ht="12.75">
      <c r="A41" s="15" t="s">
        <v>159</v>
      </c>
      <c r="B41" s="16" t="s">
        <v>160</v>
      </c>
      <c r="C41" s="16" t="s">
        <v>161</v>
      </c>
      <c r="D41" s="16" t="str">
        <f>"0,6257"</f>
        <v>0,6257</v>
      </c>
      <c r="E41" s="17" t="s">
        <v>26</v>
      </c>
      <c r="F41" s="17" t="s">
        <v>27</v>
      </c>
      <c r="G41" s="16" t="s">
        <v>162</v>
      </c>
      <c r="H41" s="18" t="s">
        <v>163</v>
      </c>
      <c r="I41" s="18" t="s">
        <v>163</v>
      </c>
      <c r="J41" s="18"/>
      <c r="K41" s="15" t="s">
        <v>164</v>
      </c>
      <c r="L41" s="16" t="str">
        <f>"143,9110"</f>
        <v>143,9110</v>
      </c>
      <c r="M41" s="17" t="s">
        <v>49</v>
      </c>
    </row>
    <row r="42" spans="1:13" ht="12.75">
      <c r="A42" s="15" t="s">
        <v>165</v>
      </c>
      <c r="B42" s="16" t="s">
        <v>166</v>
      </c>
      <c r="C42" s="16" t="s">
        <v>167</v>
      </c>
      <c r="D42" s="16" t="str">
        <f>"0,6304"</f>
        <v>0,6304</v>
      </c>
      <c r="E42" s="17" t="s">
        <v>26</v>
      </c>
      <c r="F42" s="17" t="s">
        <v>27</v>
      </c>
      <c r="G42" s="16" t="s">
        <v>146</v>
      </c>
      <c r="H42" s="18" t="s">
        <v>124</v>
      </c>
      <c r="I42" s="18"/>
      <c r="J42" s="18"/>
      <c r="K42" s="15" t="s">
        <v>168</v>
      </c>
      <c r="L42" s="16" t="str">
        <f>"116,6240"</f>
        <v>116,6240</v>
      </c>
      <c r="M42" s="17" t="s">
        <v>49</v>
      </c>
    </row>
    <row r="43" spans="1:13" ht="12.75">
      <c r="A43" s="15" t="s">
        <v>169</v>
      </c>
      <c r="B43" s="16" t="s">
        <v>170</v>
      </c>
      <c r="C43" s="16" t="s">
        <v>171</v>
      </c>
      <c r="D43" s="16" t="str">
        <f>"0,6292"</f>
        <v>0,6292</v>
      </c>
      <c r="E43" s="17" t="s">
        <v>172</v>
      </c>
      <c r="F43" s="17" t="s">
        <v>27</v>
      </c>
      <c r="G43" s="16" t="s">
        <v>139</v>
      </c>
      <c r="H43" s="16" t="s">
        <v>150</v>
      </c>
      <c r="I43" s="18" t="s">
        <v>123</v>
      </c>
      <c r="J43" s="18"/>
      <c r="K43" s="15" t="s">
        <v>157</v>
      </c>
      <c r="L43" s="16" t="str">
        <f>"110,1187"</f>
        <v>110,1187</v>
      </c>
      <c r="M43" s="17" t="s">
        <v>173</v>
      </c>
    </row>
    <row r="44" spans="1:13" ht="12.75">
      <c r="A44" s="10" t="s">
        <v>174</v>
      </c>
      <c r="B44" s="11" t="s">
        <v>175</v>
      </c>
      <c r="C44" s="11" t="s">
        <v>176</v>
      </c>
      <c r="D44" s="11" t="str">
        <f>"0,6248"</f>
        <v>0,6248</v>
      </c>
      <c r="E44" s="12" t="s">
        <v>26</v>
      </c>
      <c r="F44" s="12" t="s">
        <v>27</v>
      </c>
      <c r="G44" s="13" t="s">
        <v>150</v>
      </c>
      <c r="H44" s="13"/>
      <c r="I44" s="13"/>
      <c r="J44" s="13"/>
      <c r="K44" s="10" t="s">
        <v>91</v>
      </c>
      <c r="L44" s="11" t="str">
        <f>"0,0000"</f>
        <v>0,0000</v>
      </c>
      <c r="M44" s="12" t="s">
        <v>177</v>
      </c>
    </row>
    <row r="46" spans="1:12" ht="15">
      <c r="A46" s="63" t="s">
        <v>178</v>
      </c>
      <c r="B46" s="64"/>
      <c r="C46" s="64"/>
      <c r="D46" s="64"/>
      <c r="E46" s="64"/>
      <c r="F46" s="64"/>
      <c r="G46" s="64"/>
      <c r="H46" s="64"/>
      <c r="I46" s="64"/>
      <c r="J46" s="64"/>
      <c r="K46" s="63"/>
      <c r="L46" s="64"/>
    </row>
    <row r="47" spans="1:13" ht="12.75">
      <c r="A47" s="6" t="s">
        <v>179</v>
      </c>
      <c r="B47" s="7" t="s">
        <v>180</v>
      </c>
      <c r="C47" s="7" t="s">
        <v>181</v>
      </c>
      <c r="D47" s="7" t="str">
        <f>"0,5881"</f>
        <v>0,5881</v>
      </c>
      <c r="E47" s="8" t="s">
        <v>182</v>
      </c>
      <c r="F47" s="8" t="s">
        <v>183</v>
      </c>
      <c r="G47" s="7" t="s">
        <v>184</v>
      </c>
      <c r="H47" s="7" t="s">
        <v>185</v>
      </c>
      <c r="I47" s="9" t="s">
        <v>186</v>
      </c>
      <c r="J47" s="9"/>
      <c r="K47" s="6" t="s">
        <v>187</v>
      </c>
      <c r="L47" s="7" t="str">
        <f>"155,8465"</f>
        <v>155,8465</v>
      </c>
      <c r="M47" s="8" t="s">
        <v>188</v>
      </c>
    </row>
    <row r="48" spans="1:13" ht="12.75">
      <c r="A48" s="15" t="s">
        <v>189</v>
      </c>
      <c r="B48" s="16" t="s">
        <v>190</v>
      </c>
      <c r="C48" s="16" t="s">
        <v>191</v>
      </c>
      <c r="D48" s="16" t="str">
        <f>"0,5997"</f>
        <v>0,5997</v>
      </c>
      <c r="E48" s="17" t="s">
        <v>77</v>
      </c>
      <c r="F48" s="17" t="s">
        <v>78</v>
      </c>
      <c r="G48" s="16" t="s">
        <v>192</v>
      </c>
      <c r="H48" s="16" t="s">
        <v>163</v>
      </c>
      <c r="I48" s="18" t="s">
        <v>184</v>
      </c>
      <c r="J48" s="18"/>
      <c r="K48" s="15" t="s">
        <v>193</v>
      </c>
      <c r="L48" s="16" t="str">
        <f>"143,9400"</f>
        <v>143,9400</v>
      </c>
      <c r="M48" s="17" t="s">
        <v>194</v>
      </c>
    </row>
    <row r="49" spans="1:13" ht="12.75">
      <c r="A49" s="15" t="s">
        <v>195</v>
      </c>
      <c r="B49" s="16" t="s">
        <v>196</v>
      </c>
      <c r="C49" s="16" t="s">
        <v>197</v>
      </c>
      <c r="D49" s="16" t="str">
        <f>"0,6043"</f>
        <v>0,6043</v>
      </c>
      <c r="E49" s="17" t="s">
        <v>26</v>
      </c>
      <c r="F49" s="17" t="s">
        <v>27</v>
      </c>
      <c r="G49" s="16" t="s">
        <v>198</v>
      </c>
      <c r="H49" s="16" t="s">
        <v>199</v>
      </c>
      <c r="I49" s="16" t="s">
        <v>162</v>
      </c>
      <c r="J49" s="18"/>
      <c r="K49" s="15" t="s">
        <v>164</v>
      </c>
      <c r="L49" s="16" t="str">
        <f>"138,9890"</f>
        <v>138,9890</v>
      </c>
      <c r="M49" s="17" t="s">
        <v>200</v>
      </c>
    </row>
    <row r="50" spans="1:13" ht="12.75">
      <c r="A50" s="10" t="s">
        <v>201</v>
      </c>
      <c r="B50" s="11" t="s">
        <v>202</v>
      </c>
      <c r="C50" s="11" t="s">
        <v>203</v>
      </c>
      <c r="D50" s="11" t="str">
        <f>"0,5914"</f>
        <v>0,5914</v>
      </c>
      <c r="E50" s="12" t="s">
        <v>105</v>
      </c>
      <c r="F50" s="12" t="s">
        <v>106</v>
      </c>
      <c r="G50" s="11" t="s">
        <v>63</v>
      </c>
      <c r="H50" s="11" t="s">
        <v>204</v>
      </c>
      <c r="I50" s="13"/>
      <c r="J50" s="13"/>
      <c r="K50" s="10" t="s">
        <v>205</v>
      </c>
      <c r="L50" s="11" t="str">
        <f>"182,4824"</f>
        <v>182,4824</v>
      </c>
      <c r="M50" s="12" t="s">
        <v>107</v>
      </c>
    </row>
    <row r="52" spans="1:12" ht="15">
      <c r="A52" s="63" t="s">
        <v>206</v>
      </c>
      <c r="B52" s="64"/>
      <c r="C52" s="64"/>
      <c r="D52" s="64"/>
      <c r="E52" s="64"/>
      <c r="F52" s="64"/>
      <c r="G52" s="64"/>
      <c r="H52" s="64"/>
      <c r="I52" s="64"/>
      <c r="J52" s="64"/>
      <c r="K52" s="63"/>
      <c r="L52" s="64"/>
    </row>
    <row r="53" spans="1:13" ht="12.75">
      <c r="A53" s="6" t="s">
        <v>207</v>
      </c>
      <c r="B53" s="7" t="s">
        <v>208</v>
      </c>
      <c r="C53" s="7" t="s">
        <v>209</v>
      </c>
      <c r="D53" s="7" t="str">
        <f>"0,5581"</f>
        <v>0,5581</v>
      </c>
      <c r="E53" s="8" t="s">
        <v>210</v>
      </c>
      <c r="F53" s="8" t="s">
        <v>211</v>
      </c>
      <c r="G53" s="7" t="s">
        <v>198</v>
      </c>
      <c r="H53" s="7" t="s">
        <v>192</v>
      </c>
      <c r="I53" s="7" t="s">
        <v>212</v>
      </c>
      <c r="J53" s="9"/>
      <c r="K53" s="6" t="s">
        <v>213</v>
      </c>
      <c r="L53" s="7" t="str">
        <f>"148,2035"</f>
        <v>148,2035</v>
      </c>
      <c r="M53" s="8" t="s">
        <v>214</v>
      </c>
    </row>
    <row r="54" spans="1:13" ht="12.75">
      <c r="A54" s="15" t="s">
        <v>215</v>
      </c>
      <c r="B54" s="16" t="s">
        <v>216</v>
      </c>
      <c r="C54" s="16" t="s">
        <v>217</v>
      </c>
      <c r="D54" s="16" t="str">
        <f>"0,5634"</f>
        <v>0,5634</v>
      </c>
      <c r="E54" s="17" t="s">
        <v>26</v>
      </c>
      <c r="F54" s="17" t="s">
        <v>27</v>
      </c>
      <c r="G54" s="16" t="s">
        <v>218</v>
      </c>
      <c r="H54" s="18" t="s">
        <v>219</v>
      </c>
      <c r="I54" s="16" t="s">
        <v>219</v>
      </c>
      <c r="J54" s="18"/>
      <c r="K54" s="15" t="s">
        <v>220</v>
      </c>
      <c r="L54" s="16" t="str">
        <f>"126,2691"</f>
        <v>126,2691</v>
      </c>
      <c r="M54" s="17" t="s">
        <v>49</v>
      </c>
    </row>
    <row r="55" spans="1:13" ht="12.75">
      <c r="A55" s="15" t="s">
        <v>221</v>
      </c>
      <c r="B55" s="16" t="s">
        <v>222</v>
      </c>
      <c r="C55" s="16" t="s">
        <v>223</v>
      </c>
      <c r="D55" s="16" t="str">
        <f>"0,5570"</f>
        <v>0,5570</v>
      </c>
      <c r="E55" s="17" t="s">
        <v>224</v>
      </c>
      <c r="F55" s="17" t="s">
        <v>225</v>
      </c>
      <c r="G55" s="16" t="s">
        <v>186</v>
      </c>
      <c r="H55" s="18" t="s">
        <v>226</v>
      </c>
      <c r="I55" s="18"/>
      <c r="J55" s="18"/>
      <c r="K55" s="15" t="s">
        <v>227</v>
      </c>
      <c r="L55" s="16" t="str">
        <f>"150,3900"</f>
        <v>150,3900</v>
      </c>
      <c r="M55" s="17" t="s">
        <v>49</v>
      </c>
    </row>
    <row r="56" spans="1:13" ht="12.75">
      <c r="A56" s="15" t="s">
        <v>228</v>
      </c>
      <c r="B56" s="16" t="s">
        <v>229</v>
      </c>
      <c r="C56" s="16" t="s">
        <v>230</v>
      </c>
      <c r="D56" s="16" t="str">
        <f>"0,5584"</f>
        <v>0,5584</v>
      </c>
      <c r="E56" s="17" t="s">
        <v>77</v>
      </c>
      <c r="F56" s="17" t="s">
        <v>78</v>
      </c>
      <c r="G56" s="16" t="s">
        <v>231</v>
      </c>
      <c r="H56" s="18" t="s">
        <v>212</v>
      </c>
      <c r="I56" s="16" t="s">
        <v>212</v>
      </c>
      <c r="J56" s="18"/>
      <c r="K56" s="15" t="s">
        <v>213</v>
      </c>
      <c r="L56" s="16" t="str">
        <f>"131,2357"</f>
        <v>131,2357</v>
      </c>
      <c r="M56" s="17" t="s">
        <v>49</v>
      </c>
    </row>
    <row r="57" spans="1:13" ht="12.75">
      <c r="A57" s="10" t="s">
        <v>232</v>
      </c>
      <c r="B57" s="11" t="s">
        <v>233</v>
      </c>
      <c r="C57" s="11" t="s">
        <v>209</v>
      </c>
      <c r="D57" s="11" t="str">
        <f>"0,5581"</f>
        <v>0,5581</v>
      </c>
      <c r="E57" s="12" t="s">
        <v>26</v>
      </c>
      <c r="F57" s="12" t="s">
        <v>27</v>
      </c>
      <c r="G57" s="11" t="s">
        <v>113</v>
      </c>
      <c r="H57" s="11" t="s">
        <v>162</v>
      </c>
      <c r="I57" s="11" t="s">
        <v>212</v>
      </c>
      <c r="J57" s="13"/>
      <c r="K57" s="10" t="s">
        <v>213</v>
      </c>
      <c r="L57" s="11" t="str">
        <f>"132,3339"</f>
        <v>132,3339</v>
      </c>
      <c r="M57" s="12" t="s">
        <v>234</v>
      </c>
    </row>
    <row r="59" spans="1:12" ht="15">
      <c r="A59" s="63" t="s">
        <v>235</v>
      </c>
      <c r="B59" s="64"/>
      <c r="C59" s="64"/>
      <c r="D59" s="64"/>
      <c r="E59" s="64"/>
      <c r="F59" s="64"/>
      <c r="G59" s="64"/>
      <c r="H59" s="64"/>
      <c r="I59" s="64"/>
      <c r="J59" s="64"/>
      <c r="K59" s="63"/>
      <c r="L59" s="64"/>
    </row>
    <row r="60" spans="1:13" ht="12.75">
      <c r="A60" s="6" t="s">
        <v>236</v>
      </c>
      <c r="B60" s="7" t="s">
        <v>237</v>
      </c>
      <c r="C60" s="7" t="s">
        <v>238</v>
      </c>
      <c r="D60" s="7" t="str">
        <f>"0,5389"</f>
        <v>0,5389</v>
      </c>
      <c r="E60" s="8" t="s">
        <v>182</v>
      </c>
      <c r="F60" s="8" t="s">
        <v>183</v>
      </c>
      <c r="G60" s="7" t="s">
        <v>99</v>
      </c>
      <c r="H60" s="7" t="s">
        <v>55</v>
      </c>
      <c r="I60" s="7" t="s">
        <v>239</v>
      </c>
      <c r="J60" s="9"/>
      <c r="K60" s="6" t="s">
        <v>240</v>
      </c>
      <c r="L60" s="7" t="str">
        <f>"95,9107"</f>
        <v>95,9107</v>
      </c>
      <c r="M60" s="8" t="s">
        <v>188</v>
      </c>
    </row>
    <row r="61" spans="1:13" ht="12.75">
      <c r="A61" s="15" t="s">
        <v>241</v>
      </c>
      <c r="B61" s="16" t="s">
        <v>242</v>
      </c>
      <c r="C61" s="16" t="s">
        <v>243</v>
      </c>
      <c r="D61" s="16" t="str">
        <f>"0,5436"</f>
        <v>0,5436</v>
      </c>
      <c r="E61" s="17" t="s">
        <v>182</v>
      </c>
      <c r="F61" s="17" t="s">
        <v>183</v>
      </c>
      <c r="G61" s="16" t="s">
        <v>244</v>
      </c>
      <c r="H61" s="18" t="s">
        <v>245</v>
      </c>
      <c r="I61" s="18" t="s">
        <v>245</v>
      </c>
      <c r="J61" s="18"/>
      <c r="K61" s="15" t="s">
        <v>246</v>
      </c>
      <c r="L61" s="16" t="str">
        <f>"133,1820"</f>
        <v>133,1820</v>
      </c>
      <c r="M61" s="17" t="s">
        <v>188</v>
      </c>
    </row>
    <row r="62" spans="1:13" ht="12.75">
      <c r="A62" s="15" t="s">
        <v>247</v>
      </c>
      <c r="B62" s="16" t="s">
        <v>248</v>
      </c>
      <c r="C62" s="16" t="s">
        <v>249</v>
      </c>
      <c r="D62" s="16" t="str">
        <f>"0,5500"</f>
        <v>0,5500</v>
      </c>
      <c r="E62" s="17" t="s">
        <v>250</v>
      </c>
      <c r="F62" s="17" t="s">
        <v>251</v>
      </c>
      <c r="G62" s="16" t="s">
        <v>123</v>
      </c>
      <c r="H62" s="16" t="s">
        <v>124</v>
      </c>
      <c r="I62" s="18" t="s">
        <v>252</v>
      </c>
      <c r="J62" s="18"/>
      <c r="K62" s="15" t="s">
        <v>126</v>
      </c>
      <c r="L62" s="16" t="str">
        <f>"109,5160"</f>
        <v>109,5160</v>
      </c>
      <c r="M62" s="17" t="s">
        <v>253</v>
      </c>
    </row>
    <row r="63" spans="1:13" ht="12.75">
      <c r="A63" s="15" t="s">
        <v>254</v>
      </c>
      <c r="B63" s="16" t="s">
        <v>255</v>
      </c>
      <c r="C63" s="16" t="s">
        <v>256</v>
      </c>
      <c r="D63" s="16" t="str">
        <f>"0,5365"</f>
        <v>0,5365</v>
      </c>
      <c r="E63" s="17" t="s">
        <v>37</v>
      </c>
      <c r="F63" s="17" t="s">
        <v>38</v>
      </c>
      <c r="G63" s="16" t="s">
        <v>113</v>
      </c>
      <c r="H63" s="16" t="s">
        <v>212</v>
      </c>
      <c r="I63" s="16" t="s">
        <v>244</v>
      </c>
      <c r="J63" s="18"/>
      <c r="K63" s="15" t="s">
        <v>246</v>
      </c>
      <c r="L63" s="16" t="str">
        <f>"154,1820"</f>
        <v>154,1820</v>
      </c>
      <c r="M63" s="17" t="s">
        <v>41</v>
      </c>
    </row>
    <row r="64" spans="1:13" ht="12.75">
      <c r="A64" s="10" t="s">
        <v>257</v>
      </c>
      <c r="B64" s="11" t="s">
        <v>258</v>
      </c>
      <c r="C64" s="11" t="s">
        <v>259</v>
      </c>
      <c r="D64" s="11" t="str">
        <f>"0,5427"</f>
        <v>0,5427</v>
      </c>
      <c r="E64" s="12" t="s">
        <v>260</v>
      </c>
      <c r="F64" s="12" t="s">
        <v>27</v>
      </c>
      <c r="G64" s="11" t="s">
        <v>231</v>
      </c>
      <c r="H64" s="11" t="s">
        <v>113</v>
      </c>
      <c r="I64" s="13" t="s">
        <v>199</v>
      </c>
      <c r="J64" s="13"/>
      <c r="K64" s="10" t="s">
        <v>261</v>
      </c>
      <c r="L64" s="11" t="str">
        <f>"209,5365"</f>
        <v>209,5365</v>
      </c>
      <c r="M64" s="12" t="s">
        <v>49</v>
      </c>
    </row>
    <row r="66" spans="1:12" ht="15">
      <c r="A66" s="63" t="s">
        <v>262</v>
      </c>
      <c r="B66" s="64"/>
      <c r="C66" s="64"/>
      <c r="D66" s="64"/>
      <c r="E66" s="64"/>
      <c r="F66" s="64"/>
      <c r="G66" s="64"/>
      <c r="H66" s="64"/>
      <c r="I66" s="64"/>
      <c r="J66" s="64"/>
      <c r="K66" s="63"/>
      <c r="L66" s="64"/>
    </row>
    <row r="67" spans="1:13" ht="12.75">
      <c r="A67" s="19" t="s">
        <v>263</v>
      </c>
      <c r="B67" s="20" t="s">
        <v>264</v>
      </c>
      <c r="C67" s="20" t="s">
        <v>265</v>
      </c>
      <c r="D67" s="20" t="str">
        <f>"0,5332"</f>
        <v>0,5332</v>
      </c>
      <c r="E67" s="21" t="s">
        <v>61</v>
      </c>
      <c r="F67" s="21" t="s">
        <v>46</v>
      </c>
      <c r="G67" s="20" t="s">
        <v>266</v>
      </c>
      <c r="H67" s="22" t="s">
        <v>245</v>
      </c>
      <c r="I67" s="22" t="s">
        <v>245</v>
      </c>
      <c r="J67" s="22"/>
      <c r="K67" s="19" t="s">
        <v>267</v>
      </c>
      <c r="L67" s="20" t="str">
        <f>"135,9660"</f>
        <v>135,9660</v>
      </c>
      <c r="M67" s="21" t="s">
        <v>173</v>
      </c>
    </row>
    <row r="69" spans="1:12" ht="15">
      <c r="A69" s="63" t="s">
        <v>268</v>
      </c>
      <c r="B69" s="64"/>
      <c r="C69" s="64"/>
      <c r="D69" s="64"/>
      <c r="E69" s="64"/>
      <c r="F69" s="64"/>
      <c r="G69" s="64"/>
      <c r="H69" s="64"/>
      <c r="I69" s="64"/>
      <c r="J69" s="64"/>
      <c r="K69" s="63"/>
      <c r="L69" s="64"/>
    </row>
    <row r="70" spans="1:13" ht="12.75">
      <c r="A70" s="6" t="s">
        <v>269</v>
      </c>
      <c r="B70" s="7" t="s">
        <v>270</v>
      </c>
      <c r="C70" s="7" t="s">
        <v>271</v>
      </c>
      <c r="D70" s="7" t="str">
        <f>"0,5071"</f>
        <v>0,5071</v>
      </c>
      <c r="E70" s="8" t="s">
        <v>272</v>
      </c>
      <c r="F70" s="8" t="s">
        <v>273</v>
      </c>
      <c r="G70" s="7" t="s">
        <v>63</v>
      </c>
      <c r="H70" s="7" t="s">
        <v>274</v>
      </c>
      <c r="I70" s="7" t="s">
        <v>275</v>
      </c>
      <c r="J70" s="9"/>
      <c r="K70" s="6" t="s">
        <v>276</v>
      </c>
      <c r="L70" s="7" t="str">
        <f>"83,6765"</f>
        <v>83,6765</v>
      </c>
      <c r="M70" s="8" t="s">
        <v>277</v>
      </c>
    </row>
    <row r="71" spans="1:13" ht="12.75">
      <c r="A71" s="10" t="s">
        <v>269</v>
      </c>
      <c r="B71" s="11" t="s">
        <v>278</v>
      </c>
      <c r="C71" s="11" t="s">
        <v>271</v>
      </c>
      <c r="D71" s="11" t="str">
        <f>"0,5071"</f>
        <v>0,5071</v>
      </c>
      <c r="E71" s="12" t="s">
        <v>68</v>
      </c>
      <c r="F71" s="12" t="s">
        <v>273</v>
      </c>
      <c r="G71" s="11" t="s">
        <v>63</v>
      </c>
      <c r="H71" s="11" t="s">
        <v>274</v>
      </c>
      <c r="I71" s="11" t="s">
        <v>275</v>
      </c>
      <c r="J71" s="13"/>
      <c r="K71" s="10" t="s">
        <v>276</v>
      </c>
      <c r="L71" s="11" t="str">
        <f>"160,6588"</f>
        <v>160,6588</v>
      </c>
      <c r="M71" s="12" t="s">
        <v>277</v>
      </c>
    </row>
    <row r="73" spans="5:6" ht="15">
      <c r="E73" s="39" t="s">
        <v>279</v>
      </c>
      <c r="F73" s="41" t="s">
        <v>1935</v>
      </c>
    </row>
    <row r="74" spans="5:6" ht="15">
      <c r="E74" s="39" t="s">
        <v>1940</v>
      </c>
      <c r="F74" s="41" t="s">
        <v>1941</v>
      </c>
    </row>
    <row r="75" spans="5:6" ht="15">
      <c r="E75" s="39" t="s">
        <v>280</v>
      </c>
      <c r="F75" s="41" t="s">
        <v>1936</v>
      </c>
    </row>
    <row r="76" spans="5:6" ht="15">
      <c r="E76" s="39" t="s">
        <v>281</v>
      </c>
      <c r="F76" s="41" t="s">
        <v>1939</v>
      </c>
    </row>
    <row r="77" spans="5:6" ht="15">
      <c r="E77" s="39" t="s">
        <v>282</v>
      </c>
      <c r="F77" s="41" t="s">
        <v>1943</v>
      </c>
    </row>
    <row r="78" spans="5:6" ht="15">
      <c r="E78" s="39" t="s">
        <v>282</v>
      </c>
      <c r="F78" s="41" t="s">
        <v>1944</v>
      </c>
    </row>
    <row r="79" spans="5:6" ht="15">
      <c r="E79" s="39" t="s">
        <v>283</v>
      </c>
      <c r="F79" s="41" t="s">
        <v>1942</v>
      </c>
    </row>
    <row r="80" spans="5:6" ht="15">
      <c r="E80" s="39" t="s">
        <v>1937</v>
      </c>
      <c r="F80" s="41" t="s">
        <v>1938</v>
      </c>
    </row>
    <row r="81" spans="1:2" ht="18">
      <c r="A81" s="23" t="s">
        <v>284</v>
      </c>
      <c r="B81" s="24"/>
    </row>
    <row r="82" spans="1:2" ht="15">
      <c r="A82" s="25" t="s">
        <v>285</v>
      </c>
      <c r="B82" s="14"/>
    </row>
    <row r="83" spans="1:2" ht="14.25">
      <c r="A83" s="27"/>
      <c r="B83" s="28" t="s">
        <v>286</v>
      </c>
    </row>
    <row r="84" spans="1:5" ht="15">
      <c r="A84" s="29" t="s">
        <v>287</v>
      </c>
      <c r="B84" s="29" t="s">
        <v>288</v>
      </c>
      <c r="C84" s="29" t="s">
        <v>289</v>
      </c>
      <c r="D84" s="29" t="s">
        <v>290</v>
      </c>
      <c r="E84" s="29" t="s">
        <v>291</v>
      </c>
    </row>
    <row r="85" spans="1:5" ht="12.75">
      <c r="A85" s="26" t="s">
        <v>34</v>
      </c>
      <c r="B85" s="1" t="s">
        <v>292</v>
      </c>
      <c r="C85" s="1" t="s">
        <v>293</v>
      </c>
      <c r="D85" s="1" t="s">
        <v>39</v>
      </c>
      <c r="E85" s="4" t="s">
        <v>294</v>
      </c>
    </row>
    <row r="86" spans="1:5" ht="12.75">
      <c r="A86" s="26" t="s">
        <v>74</v>
      </c>
      <c r="B86" s="1" t="s">
        <v>292</v>
      </c>
      <c r="C86" s="1" t="s">
        <v>295</v>
      </c>
      <c r="D86" s="1" t="s">
        <v>80</v>
      </c>
      <c r="E86" s="4" t="s">
        <v>296</v>
      </c>
    </row>
    <row r="88" spans="1:2" ht="14.25">
      <c r="A88" s="27"/>
      <c r="B88" s="28" t="s">
        <v>297</v>
      </c>
    </row>
    <row r="89" spans="1:5" ht="15">
      <c r="A89" s="29" t="s">
        <v>287</v>
      </c>
      <c r="B89" s="29" t="s">
        <v>288</v>
      </c>
      <c r="C89" s="29" t="s">
        <v>289</v>
      </c>
      <c r="D89" s="29" t="s">
        <v>290</v>
      </c>
      <c r="E89" s="29" t="s">
        <v>291</v>
      </c>
    </row>
    <row r="90" spans="1:5" ht="12.75">
      <c r="A90" s="26" t="s">
        <v>15</v>
      </c>
      <c r="B90" s="1" t="s">
        <v>298</v>
      </c>
      <c r="C90" s="1" t="s">
        <v>299</v>
      </c>
      <c r="D90" s="1" t="s">
        <v>20</v>
      </c>
      <c r="E90" s="4" t="s">
        <v>300</v>
      </c>
    </row>
    <row r="92" spans="1:2" ht="14.25">
      <c r="A92" s="27"/>
      <c r="B92" s="28" t="s">
        <v>301</v>
      </c>
    </row>
    <row r="93" spans="1:5" ht="15">
      <c r="A93" s="29" t="s">
        <v>287</v>
      </c>
      <c r="B93" s="29" t="s">
        <v>288</v>
      </c>
      <c r="C93" s="29" t="s">
        <v>289</v>
      </c>
      <c r="D93" s="29" t="s">
        <v>290</v>
      </c>
      <c r="E93" s="29" t="s">
        <v>291</v>
      </c>
    </row>
    <row r="94" spans="1:5" ht="12.75">
      <c r="A94" s="26" t="s">
        <v>58</v>
      </c>
      <c r="B94" s="1" t="s">
        <v>301</v>
      </c>
      <c r="C94" s="1" t="s">
        <v>302</v>
      </c>
      <c r="D94" s="1" t="s">
        <v>63</v>
      </c>
      <c r="E94" s="4" t="s">
        <v>303</v>
      </c>
    </row>
    <row r="95" spans="1:5" ht="12.75">
      <c r="A95" s="26" t="s">
        <v>51</v>
      </c>
      <c r="B95" s="1" t="s">
        <v>301</v>
      </c>
      <c r="C95" s="1" t="s">
        <v>302</v>
      </c>
      <c r="D95" s="1" t="s">
        <v>55</v>
      </c>
      <c r="E95" s="4" t="s">
        <v>304</v>
      </c>
    </row>
    <row r="96" spans="1:5" ht="12.75">
      <c r="A96" s="26" t="s">
        <v>24</v>
      </c>
      <c r="B96" s="1" t="s">
        <v>301</v>
      </c>
      <c r="C96" s="1" t="s">
        <v>299</v>
      </c>
      <c r="D96" s="1" t="s">
        <v>30</v>
      </c>
      <c r="E96" s="4" t="s">
        <v>305</v>
      </c>
    </row>
    <row r="97" spans="1:5" ht="12.75">
      <c r="A97" s="26" t="s">
        <v>84</v>
      </c>
      <c r="B97" s="1" t="s">
        <v>301</v>
      </c>
      <c r="C97" s="1" t="s">
        <v>306</v>
      </c>
      <c r="D97" s="1" t="s">
        <v>55</v>
      </c>
      <c r="E97" s="4" t="s">
        <v>307</v>
      </c>
    </row>
    <row r="98" spans="1:5" ht="12.75">
      <c r="A98" s="26" t="s">
        <v>42</v>
      </c>
      <c r="B98" s="1" t="s">
        <v>301</v>
      </c>
      <c r="C98" s="1" t="s">
        <v>293</v>
      </c>
      <c r="D98" s="1" t="s">
        <v>39</v>
      </c>
      <c r="E98" s="4" t="s">
        <v>308</v>
      </c>
    </row>
    <row r="99" spans="1:5" ht="12.75">
      <c r="A99" s="26" t="s">
        <v>94</v>
      </c>
      <c r="B99" s="1" t="s">
        <v>301</v>
      </c>
      <c r="C99" s="1" t="s">
        <v>309</v>
      </c>
      <c r="D99" s="1" t="s">
        <v>99</v>
      </c>
      <c r="E99" s="4" t="s">
        <v>310</v>
      </c>
    </row>
    <row r="100" spans="1:5" ht="12.75">
      <c r="A100" s="26" t="s">
        <v>65</v>
      </c>
      <c r="B100" s="1" t="s">
        <v>301</v>
      </c>
      <c r="C100" s="1" t="s">
        <v>302</v>
      </c>
      <c r="D100" s="1" t="s">
        <v>70</v>
      </c>
      <c r="E100" s="4" t="s">
        <v>311</v>
      </c>
    </row>
    <row r="103" spans="1:2" ht="15">
      <c r="A103" s="25" t="s">
        <v>312</v>
      </c>
      <c r="B103" s="14"/>
    </row>
    <row r="104" spans="1:2" ht="14.25">
      <c r="A104" s="27"/>
      <c r="B104" s="28" t="s">
        <v>286</v>
      </c>
    </row>
    <row r="105" spans="1:5" ht="15">
      <c r="A105" s="29" t="s">
        <v>287</v>
      </c>
      <c r="B105" s="29" t="s">
        <v>288</v>
      </c>
      <c r="C105" s="29" t="s">
        <v>289</v>
      </c>
      <c r="D105" s="29" t="s">
        <v>290</v>
      </c>
      <c r="E105" s="29" t="s">
        <v>291</v>
      </c>
    </row>
    <row r="106" spans="1:5" ht="12.75">
      <c r="A106" s="26" t="s">
        <v>109</v>
      </c>
      <c r="B106" s="1" t="s">
        <v>292</v>
      </c>
      <c r="C106" s="1" t="s">
        <v>313</v>
      </c>
      <c r="D106" s="1" t="s">
        <v>115</v>
      </c>
      <c r="E106" s="4" t="s">
        <v>314</v>
      </c>
    </row>
    <row r="107" spans="1:5" ht="12.75">
      <c r="A107" s="26" t="s">
        <v>207</v>
      </c>
      <c r="B107" s="1" t="s">
        <v>292</v>
      </c>
      <c r="C107" s="1" t="s">
        <v>315</v>
      </c>
      <c r="D107" s="1" t="s">
        <v>212</v>
      </c>
      <c r="E107" s="4" t="s">
        <v>316</v>
      </c>
    </row>
    <row r="108" spans="1:5" ht="12.75">
      <c r="A108" s="26" t="s">
        <v>215</v>
      </c>
      <c r="B108" s="1" t="s">
        <v>292</v>
      </c>
      <c r="C108" s="1" t="s">
        <v>315</v>
      </c>
      <c r="D108" s="1" t="s">
        <v>219</v>
      </c>
      <c r="E108" s="4" t="s">
        <v>317</v>
      </c>
    </row>
    <row r="109" spans="1:5" ht="12.75">
      <c r="A109" s="26" t="s">
        <v>153</v>
      </c>
      <c r="B109" s="1" t="s">
        <v>292</v>
      </c>
      <c r="C109" s="1" t="s">
        <v>318</v>
      </c>
      <c r="D109" s="1" t="s">
        <v>150</v>
      </c>
      <c r="E109" s="4" t="s">
        <v>319</v>
      </c>
    </row>
    <row r="110" spans="1:5" ht="12.75">
      <c r="A110" s="26" t="s">
        <v>236</v>
      </c>
      <c r="B110" s="1" t="s">
        <v>292</v>
      </c>
      <c r="C110" s="1" t="s">
        <v>320</v>
      </c>
      <c r="D110" s="1" t="s">
        <v>239</v>
      </c>
      <c r="E110" s="4" t="s">
        <v>321</v>
      </c>
    </row>
    <row r="112" spans="1:2" ht="14.25">
      <c r="A112" s="27"/>
      <c r="B112" s="28" t="s">
        <v>297</v>
      </c>
    </row>
    <row r="113" spans="1:5" ht="15">
      <c r="A113" s="29" t="s">
        <v>287</v>
      </c>
      <c r="B113" s="29" t="s">
        <v>288</v>
      </c>
      <c r="C113" s="29" t="s">
        <v>289</v>
      </c>
      <c r="D113" s="29" t="s">
        <v>290</v>
      </c>
      <c r="E113" s="29" t="s">
        <v>291</v>
      </c>
    </row>
    <row r="114" spans="1:5" ht="12.75">
      <c r="A114" s="26" t="s">
        <v>117</v>
      </c>
      <c r="B114" s="1" t="s">
        <v>298</v>
      </c>
      <c r="C114" s="1" t="s">
        <v>313</v>
      </c>
      <c r="D114" s="1" t="s">
        <v>124</v>
      </c>
      <c r="E114" s="4" t="s">
        <v>322</v>
      </c>
    </row>
    <row r="116" spans="1:2" ht="14.25">
      <c r="A116" s="27"/>
      <c r="B116" s="28" t="s">
        <v>301</v>
      </c>
    </row>
    <row r="117" spans="1:5" ht="15">
      <c r="A117" s="29" t="s">
        <v>287</v>
      </c>
      <c r="B117" s="29" t="s">
        <v>288</v>
      </c>
      <c r="C117" s="29" t="s">
        <v>289</v>
      </c>
      <c r="D117" s="29" t="s">
        <v>290</v>
      </c>
      <c r="E117" s="29" t="s">
        <v>291</v>
      </c>
    </row>
    <row r="118" spans="1:5" ht="12.75">
      <c r="A118" s="26" t="s">
        <v>179</v>
      </c>
      <c r="B118" s="1" t="s">
        <v>301</v>
      </c>
      <c r="C118" s="1" t="s">
        <v>323</v>
      </c>
      <c r="D118" s="1" t="s">
        <v>185</v>
      </c>
      <c r="E118" s="4" t="s">
        <v>324</v>
      </c>
    </row>
    <row r="119" spans="1:5" ht="12.75">
      <c r="A119" s="26" t="s">
        <v>221</v>
      </c>
      <c r="B119" s="1" t="s">
        <v>301</v>
      </c>
      <c r="C119" s="1" t="s">
        <v>315</v>
      </c>
      <c r="D119" s="1" t="s">
        <v>186</v>
      </c>
      <c r="E119" s="4" t="s">
        <v>325</v>
      </c>
    </row>
    <row r="120" spans="1:5" ht="12.75">
      <c r="A120" s="26" t="s">
        <v>189</v>
      </c>
      <c r="B120" s="1" t="s">
        <v>301</v>
      </c>
      <c r="C120" s="1" t="s">
        <v>323</v>
      </c>
      <c r="D120" s="1" t="s">
        <v>163</v>
      </c>
      <c r="E120" s="4" t="s">
        <v>326</v>
      </c>
    </row>
    <row r="121" spans="1:5" ht="12.75">
      <c r="A121" s="26" t="s">
        <v>159</v>
      </c>
      <c r="B121" s="1" t="s">
        <v>301</v>
      </c>
      <c r="C121" s="1" t="s">
        <v>318</v>
      </c>
      <c r="D121" s="1" t="s">
        <v>162</v>
      </c>
      <c r="E121" s="4" t="s">
        <v>327</v>
      </c>
    </row>
    <row r="122" spans="1:5" ht="12.75">
      <c r="A122" s="26" t="s">
        <v>195</v>
      </c>
      <c r="B122" s="1" t="s">
        <v>301</v>
      </c>
      <c r="C122" s="1" t="s">
        <v>323</v>
      </c>
      <c r="D122" s="1" t="s">
        <v>162</v>
      </c>
      <c r="E122" s="4" t="s">
        <v>328</v>
      </c>
    </row>
    <row r="123" spans="1:5" ht="12.75">
      <c r="A123" s="26" t="s">
        <v>127</v>
      </c>
      <c r="B123" s="1" t="s">
        <v>301</v>
      </c>
      <c r="C123" s="1" t="s">
        <v>313</v>
      </c>
      <c r="D123" s="1" t="s">
        <v>125</v>
      </c>
      <c r="E123" s="4" t="s">
        <v>329</v>
      </c>
    </row>
    <row r="124" spans="1:5" ht="12.75">
      <c r="A124" s="26" t="s">
        <v>263</v>
      </c>
      <c r="B124" s="1" t="s">
        <v>301</v>
      </c>
      <c r="C124" s="1" t="s">
        <v>330</v>
      </c>
      <c r="D124" s="1" t="s">
        <v>266</v>
      </c>
      <c r="E124" s="4" t="s">
        <v>331</v>
      </c>
    </row>
    <row r="125" spans="1:5" ht="12.75">
      <c r="A125" s="26" t="s">
        <v>241</v>
      </c>
      <c r="B125" s="1" t="s">
        <v>301</v>
      </c>
      <c r="C125" s="1" t="s">
        <v>320</v>
      </c>
      <c r="D125" s="1" t="s">
        <v>244</v>
      </c>
      <c r="E125" s="4" t="s">
        <v>332</v>
      </c>
    </row>
    <row r="126" spans="1:5" ht="12.75">
      <c r="A126" s="26" t="s">
        <v>228</v>
      </c>
      <c r="B126" s="1" t="s">
        <v>301</v>
      </c>
      <c r="C126" s="1" t="s">
        <v>315</v>
      </c>
      <c r="D126" s="1" t="s">
        <v>212</v>
      </c>
      <c r="E126" s="4" t="s">
        <v>333</v>
      </c>
    </row>
    <row r="127" spans="1:5" ht="12.75">
      <c r="A127" s="26" t="s">
        <v>135</v>
      </c>
      <c r="B127" s="1" t="s">
        <v>301</v>
      </c>
      <c r="C127" s="1" t="s">
        <v>313</v>
      </c>
      <c r="D127" s="1" t="s">
        <v>123</v>
      </c>
      <c r="E127" s="4" t="s">
        <v>334</v>
      </c>
    </row>
    <row r="128" spans="1:5" ht="12.75">
      <c r="A128" s="26" t="s">
        <v>165</v>
      </c>
      <c r="B128" s="1" t="s">
        <v>301</v>
      </c>
      <c r="C128" s="1" t="s">
        <v>318</v>
      </c>
      <c r="D128" s="1" t="s">
        <v>146</v>
      </c>
      <c r="E128" s="4" t="s">
        <v>335</v>
      </c>
    </row>
    <row r="129" spans="1:5" ht="12.75">
      <c r="A129" s="26" t="s">
        <v>102</v>
      </c>
      <c r="B129" s="1" t="s">
        <v>301</v>
      </c>
      <c r="C129" s="1" t="s">
        <v>295</v>
      </c>
      <c r="D129" s="1" t="s">
        <v>99</v>
      </c>
      <c r="E129" s="4" t="s">
        <v>336</v>
      </c>
    </row>
    <row r="130" spans="1:5" ht="12.75">
      <c r="A130" s="26" t="s">
        <v>169</v>
      </c>
      <c r="B130" s="1" t="s">
        <v>301</v>
      </c>
      <c r="C130" s="1" t="s">
        <v>318</v>
      </c>
      <c r="D130" s="1" t="s">
        <v>150</v>
      </c>
      <c r="E130" s="4" t="s">
        <v>337</v>
      </c>
    </row>
    <row r="131" spans="1:5" ht="12.75">
      <c r="A131" s="26" t="s">
        <v>269</v>
      </c>
      <c r="B131" s="1" t="s">
        <v>301</v>
      </c>
      <c r="C131" s="1" t="s">
        <v>338</v>
      </c>
      <c r="D131" s="1" t="s">
        <v>275</v>
      </c>
      <c r="E131" s="4" t="s">
        <v>339</v>
      </c>
    </row>
    <row r="133" spans="1:2" ht="14.25">
      <c r="A133" s="27"/>
      <c r="B133" s="28" t="s">
        <v>340</v>
      </c>
    </row>
    <row r="134" spans="1:5" ht="15">
      <c r="A134" s="29" t="s">
        <v>287</v>
      </c>
      <c r="B134" s="29" t="s">
        <v>288</v>
      </c>
      <c r="C134" s="29" t="s">
        <v>289</v>
      </c>
      <c r="D134" s="29" t="s">
        <v>290</v>
      </c>
      <c r="E134" s="29" t="s">
        <v>291</v>
      </c>
    </row>
    <row r="135" spans="1:5" ht="12.75">
      <c r="A135" s="26" t="s">
        <v>257</v>
      </c>
      <c r="B135" s="1" t="s">
        <v>341</v>
      </c>
      <c r="C135" s="1" t="s">
        <v>320</v>
      </c>
      <c r="D135" s="1" t="s">
        <v>113</v>
      </c>
      <c r="E135" s="4" t="s">
        <v>342</v>
      </c>
    </row>
    <row r="136" spans="1:5" ht="12.75">
      <c r="A136" s="26" t="s">
        <v>201</v>
      </c>
      <c r="B136" s="1" t="s">
        <v>343</v>
      </c>
      <c r="C136" s="1" t="s">
        <v>323</v>
      </c>
      <c r="D136" s="1" t="s">
        <v>204</v>
      </c>
      <c r="E136" s="4" t="s">
        <v>344</v>
      </c>
    </row>
    <row r="137" spans="1:5" ht="12.75">
      <c r="A137" s="26" t="s">
        <v>269</v>
      </c>
      <c r="B137" s="1" t="s">
        <v>343</v>
      </c>
      <c r="C137" s="1" t="s">
        <v>338</v>
      </c>
      <c r="D137" s="1" t="s">
        <v>275</v>
      </c>
      <c r="E137" s="4" t="s">
        <v>345</v>
      </c>
    </row>
    <row r="138" spans="1:5" ht="12.75">
      <c r="A138" s="26" t="s">
        <v>254</v>
      </c>
      <c r="B138" s="1" t="s">
        <v>346</v>
      </c>
      <c r="C138" s="1" t="s">
        <v>320</v>
      </c>
      <c r="D138" s="1" t="s">
        <v>244</v>
      </c>
      <c r="E138" s="4" t="s">
        <v>347</v>
      </c>
    </row>
    <row r="139" spans="1:5" ht="12.75">
      <c r="A139" s="26" t="s">
        <v>232</v>
      </c>
      <c r="B139" s="1" t="s">
        <v>348</v>
      </c>
      <c r="C139" s="1" t="s">
        <v>315</v>
      </c>
      <c r="D139" s="1" t="s">
        <v>212</v>
      </c>
      <c r="E139" s="4" t="s">
        <v>349</v>
      </c>
    </row>
    <row r="140" spans="1:5" ht="12.75">
      <c r="A140" s="26" t="s">
        <v>247</v>
      </c>
      <c r="B140" s="1" t="s">
        <v>350</v>
      </c>
      <c r="C140" s="1" t="s">
        <v>320</v>
      </c>
      <c r="D140" s="1" t="s">
        <v>124</v>
      </c>
      <c r="E140" s="4" t="s">
        <v>351</v>
      </c>
    </row>
    <row r="145" spans="1:2" ht="18">
      <c r="A145" s="23" t="s">
        <v>352</v>
      </c>
      <c r="B145" s="24"/>
    </row>
    <row r="146" spans="1:3" ht="15">
      <c r="A146" s="29" t="s">
        <v>353</v>
      </c>
      <c r="B146" s="29" t="s">
        <v>354</v>
      </c>
      <c r="C146" s="29" t="s">
        <v>355</v>
      </c>
    </row>
    <row r="147" spans="1:3" ht="12.75">
      <c r="A147" s="4" t="s">
        <v>26</v>
      </c>
      <c r="B147" s="1" t="s">
        <v>356</v>
      </c>
      <c r="C147" s="1" t="s">
        <v>357</v>
      </c>
    </row>
    <row r="148" spans="1:3" ht="12.75">
      <c r="A148" s="4" t="s">
        <v>182</v>
      </c>
      <c r="B148" s="1" t="s">
        <v>358</v>
      </c>
      <c r="C148" s="1" t="s">
        <v>359</v>
      </c>
    </row>
    <row r="149" spans="1:3" ht="12.75">
      <c r="A149" s="4" t="s">
        <v>37</v>
      </c>
      <c r="B149" s="1" t="s">
        <v>360</v>
      </c>
      <c r="C149" s="1" t="s">
        <v>361</v>
      </c>
    </row>
    <row r="150" spans="1:3" ht="12.75">
      <c r="A150" s="4" t="s">
        <v>105</v>
      </c>
      <c r="B150" s="1" t="s">
        <v>360</v>
      </c>
      <c r="C150" s="1" t="s">
        <v>362</v>
      </c>
    </row>
    <row r="151" spans="1:3" ht="12.75">
      <c r="A151" s="4" t="s">
        <v>77</v>
      </c>
      <c r="B151" s="1" t="s">
        <v>363</v>
      </c>
      <c r="C151" s="1" t="s">
        <v>364</v>
      </c>
    </row>
    <row r="152" spans="1:3" ht="12.75">
      <c r="A152" s="4" t="s">
        <v>61</v>
      </c>
      <c r="B152" s="1" t="s">
        <v>365</v>
      </c>
      <c r="C152" s="1" t="s">
        <v>366</v>
      </c>
    </row>
    <row r="153" spans="1:3" ht="12.75">
      <c r="A153" s="4" t="s">
        <v>68</v>
      </c>
      <c r="B153" s="1" t="s">
        <v>367</v>
      </c>
      <c r="C153" s="1" t="s">
        <v>368</v>
      </c>
    </row>
    <row r="154" spans="1:3" ht="12.75">
      <c r="A154" s="4" t="s">
        <v>97</v>
      </c>
      <c r="B154" s="1" t="s">
        <v>369</v>
      </c>
      <c r="C154" s="1" t="s">
        <v>370</v>
      </c>
    </row>
    <row r="155" spans="1:3" ht="12.75">
      <c r="A155" s="4" t="s">
        <v>112</v>
      </c>
      <c r="B155" s="1" t="s">
        <v>369</v>
      </c>
      <c r="C155" s="1" t="s">
        <v>371</v>
      </c>
    </row>
    <row r="156" spans="1:3" ht="12.75">
      <c r="A156" s="4" t="s">
        <v>224</v>
      </c>
      <c r="B156" s="1" t="s">
        <v>369</v>
      </c>
      <c r="C156" s="1" t="s">
        <v>372</v>
      </c>
    </row>
    <row r="157" spans="1:3" ht="12.75">
      <c r="A157" s="4" t="s">
        <v>250</v>
      </c>
      <c r="B157" s="1" t="s">
        <v>369</v>
      </c>
      <c r="C157" s="1" t="s">
        <v>373</v>
      </c>
    </row>
    <row r="158" spans="1:3" ht="12.75">
      <c r="A158" s="4" t="s">
        <v>45</v>
      </c>
      <c r="B158" s="1" t="s">
        <v>369</v>
      </c>
      <c r="C158" s="1" t="s">
        <v>374</v>
      </c>
    </row>
    <row r="159" spans="1:3" ht="12.75">
      <c r="A159" s="4" t="s">
        <v>120</v>
      </c>
      <c r="B159" s="1" t="s">
        <v>369</v>
      </c>
      <c r="C159" s="1" t="s">
        <v>375</v>
      </c>
    </row>
    <row r="160" spans="1:3" ht="12.75">
      <c r="A160" s="4" t="s">
        <v>130</v>
      </c>
      <c r="B160" s="1" t="s">
        <v>369</v>
      </c>
      <c r="C160" s="1" t="s">
        <v>376</v>
      </c>
    </row>
    <row r="161" spans="1:3" ht="12.75">
      <c r="A161" s="4" t="s">
        <v>260</v>
      </c>
      <c r="B161" s="1" t="s">
        <v>369</v>
      </c>
      <c r="C161" s="1" t="s">
        <v>377</v>
      </c>
    </row>
    <row r="162" spans="1:3" ht="12.75">
      <c r="A162" s="4" t="s">
        <v>272</v>
      </c>
      <c r="B162" s="1" t="s">
        <v>369</v>
      </c>
      <c r="C162" s="1" t="s">
        <v>378</v>
      </c>
    </row>
    <row r="163" spans="1:3" ht="12.75">
      <c r="A163" s="4" t="s">
        <v>210</v>
      </c>
      <c r="B163" s="1" t="s">
        <v>369</v>
      </c>
      <c r="C163" s="1" t="s">
        <v>379</v>
      </c>
    </row>
    <row r="164" spans="1:3" ht="12.75">
      <c r="A164" s="4" t="s">
        <v>18</v>
      </c>
      <c r="B164" s="1" t="s">
        <v>369</v>
      </c>
      <c r="C164" s="1" t="s">
        <v>380</v>
      </c>
    </row>
    <row r="165" spans="1:3" ht="12.75">
      <c r="A165" s="4" t="s">
        <v>138</v>
      </c>
      <c r="B165" s="1" t="s">
        <v>381</v>
      </c>
      <c r="C165" s="1" t="s">
        <v>382</v>
      </c>
    </row>
    <row r="166" spans="1:3" ht="12.75">
      <c r="A166" s="4" t="s">
        <v>172</v>
      </c>
      <c r="B166" s="1" t="s">
        <v>383</v>
      </c>
      <c r="C166" s="1" t="s">
        <v>384</v>
      </c>
    </row>
  </sheetData>
  <sheetProtection/>
  <mergeCells count="25">
    <mergeCell ref="A52:L52"/>
    <mergeCell ref="A59:L59"/>
    <mergeCell ref="A66:L66"/>
    <mergeCell ref="A69:L69"/>
    <mergeCell ref="A18:L18"/>
    <mergeCell ref="A21:L21"/>
    <mergeCell ref="A25:L25"/>
    <mergeCell ref="A28:L28"/>
    <mergeCell ref="A31:L31"/>
    <mergeCell ref="A9:L9"/>
    <mergeCell ref="A13:L13"/>
    <mergeCell ref="D3:D4"/>
    <mergeCell ref="K3:K4"/>
    <mergeCell ref="L3:L4"/>
    <mergeCell ref="A46:L46"/>
    <mergeCell ref="A1:M2"/>
    <mergeCell ref="G3:J3"/>
    <mergeCell ref="A3:A4"/>
    <mergeCell ref="B3:B4"/>
    <mergeCell ref="C3:C4"/>
    <mergeCell ref="A39:L39"/>
    <mergeCell ref="M3:M4"/>
    <mergeCell ref="F3:F4"/>
    <mergeCell ref="E3:E4"/>
    <mergeCell ref="A5:L5"/>
  </mergeCells>
  <printOptions/>
  <pageMargins left="0.1968503937007874" right="0.4724409448818898" top="0.4330708661417323" bottom="0.4724409448818898" header="0.5118110236220472" footer="0.5118110236220472"/>
  <pageSetup fitToHeight="100" fitToWidth="1" horizontalDpi="300" verticalDpi="300" orientation="landscape" scale="58" r:id="rId2"/>
  <headerFooter alignWithMargins="0">
    <oddFooter>&amp;L&amp;G&amp;R&amp;D&amp;T&amp;P</oddFooter>
  </headerFooter>
  <legacyDrawingHF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M2"/>
    </sheetView>
  </sheetViews>
  <sheetFormatPr defaultColWidth="9.00390625" defaultRowHeight="12.75"/>
  <cols>
    <col min="1" max="1" width="31.875" style="30" bestFit="1" customWidth="1"/>
    <col min="2" max="2" width="24.00390625" style="30" bestFit="1" customWidth="1"/>
    <col min="3" max="3" width="13.25390625" style="30" customWidth="1"/>
    <col min="4" max="4" width="10.625" style="30" bestFit="1" customWidth="1"/>
    <col min="5" max="5" width="22.75390625" style="30" bestFit="1" customWidth="1"/>
    <col min="6" max="6" width="22.875" style="30" bestFit="1" customWidth="1"/>
    <col min="7" max="9" width="5.625" style="30" bestFit="1" customWidth="1"/>
    <col min="10" max="10" width="4.625" style="30" bestFit="1" customWidth="1"/>
    <col min="11" max="11" width="7.875" style="30" bestFit="1" customWidth="1"/>
    <col min="12" max="12" width="8.625" style="30" bestFit="1" customWidth="1"/>
    <col min="13" max="13" width="24.25390625" style="30" bestFit="1" customWidth="1"/>
  </cols>
  <sheetData>
    <row r="1" spans="1:13" s="1" customFormat="1" ht="15" customHeight="1">
      <c r="A1" s="48" t="s">
        <v>1896</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3</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206</v>
      </c>
      <c r="B5" s="61"/>
      <c r="C5" s="61"/>
      <c r="D5" s="61"/>
      <c r="E5" s="61"/>
      <c r="F5" s="61"/>
      <c r="G5" s="61"/>
      <c r="H5" s="61"/>
      <c r="I5" s="61"/>
      <c r="J5" s="61"/>
      <c r="K5" s="61"/>
      <c r="L5" s="61"/>
    </row>
    <row r="6" spans="1:13" ht="12.75">
      <c r="A6" s="31" t="s">
        <v>207</v>
      </c>
      <c r="B6" s="31" t="s">
        <v>208</v>
      </c>
      <c r="C6" s="31" t="s">
        <v>209</v>
      </c>
      <c r="D6" s="31" t="str">
        <f>"0,5581"</f>
        <v>0,5581</v>
      </c>
      <c r="E6" s="31" t="s">
        <v>210</v>
      </c>
      <c r="F6" s="31" t="s">
        <v>211</v>
      </c>
      <c r="G6" s="31" t="s">
        <v>198</v>
      </c>
      <c r="H6" s="31" t="s">
        <v>192</v>
      </c>
      <c r="I6" s="31" t="s">
        <v>212</v>
      </c>
      <c r="J6" s="32"/>
      <c r="K6" s="31">
        <v>235</v>
      </c>
      <c r="L6" s="31" t="str">
        <f>"148,2035"</f>
        <v>148,2035</v>
      </c>
      <c r="M6" s="31" t="s">
        <v>214</v>
      </c>
    </row>
    <row r="8" spans="5:6" ht="15">
      <c r="E8" s="39" t="s">
        <v>279</v>
      </c>
      <c r="F8" s="41" t="s">
        <v>1935</v>
      </c>
    </row>
    <row r="9" spans="5:6" ht="15">
      <c r="E9" s="39" t="s">
        <v>1940</v>
      </c>
      <c r="F9" s="41" t="s">
        <v>1941</v>
      </c>
    </row>
    <row r="10" spans="5:6" ht="15">
      <c r="E10" s="39" t="s">
        <v>280</v>
      </c>
      <c r="F10" s="41" t="s">
        <v>1936</v>
      </c>
    </row>
    <row r="11" spans="5:6" ht="15">
      <c r="E11" s="39" t="s">
        <v>281</v>
      </c>
      <c r="F11" s="41" t="s">
        <v>1939</v>
      </c>
    </row>
    <row r="12" spans="5:6" ht="15">
      <c r="E12" s="39" t="s">
        <v>282</v>
      </c>
      <c r="F12" s="41" t="s">
        <v>1943</v>
      </c>
    </row>
    <row r="13" spans="5:6" ht="15">
      <c r="E13" s="39" t="s">
        <v>282</v>
      </c>
      <c r="F13" s="41" t="s">
        <v>1944</v>
      </c>
    </row>
    <row r="14" spans="5:6" ht="15">
      <c r="E14" s="39" t="s">
        <v>283</v>
      </c>
      <c r="F14" s="41" t="s">
        <v>1942</v>
      </c>
    </row>
    <row r="15" spans="5:6" ht="15">
      <c r="E15" s="39" t="s">
        <v>1937</v>
      </c>
      <c r="F15" s="41" t="s">
        <v>1938</v>
      </c>
    </row>
    <row r="16" spans="1:2" ht="18">
      <c r="A16" s="40" t="s">
        <v>284</v>
      </c>
      <c r="B16" s="40"/>
    </row>
    <row r="17" spans="1:2" ht="15">
      <c r="A17" s="42" t="s">
        <v>312</v>
      </c>
      <c r="B17" s="42"/>
    </row>
    <row r="18" spans="1:2" ht="14.25">
      <c r="A18" s="44"/>
      <c r="B18" s="45" t="s">
        <v>286</v>
      </c>
    </row>
    <row r="19" spans="1:5" ht="15">
      <c r="A19" s="46" t="s">
        <v>287</v>
      </c>
      <c r="B19" s="46" t="s">
        <v>288</v>
      </c>
      <c r="C19" s="46" t="s">
        <v>289</v>
      </c>
      <c r="D19" s="46" t="s">
        <v>290</v>
      </c>
      <c r="E19" s="46" t="s">
        <v>291</v>
      </c>
    </row>
    <row r="20" spans="1:5" ht="12.75">
      <c r="A20" s="43" t="s">
        <v>207</v>
      </c>
      <c r="B20" s="30" t="s">
        <v>292</v>
      </c>
      <c r="C20" s="30" t="s">
        <v>315</v>
      </c>
      <c r="D20" s="30" t="s">
        <v>212</v>
      </c>
      <c r="E20" s="47" t="s">
        <v>316</v>
      </c>
    </row>
    <row r="25" spans="1:2" ht="18">
      <c r="A25" s="40" t="s">
        <v>352</v>
      </c>
      <c r="B25" s="40"/>
    </row>
    <row r="26" spans="1:3" ht="15">
      <c r="A26" s="46" t="s">
        <v>353</v>
      </c>
      <c r="B26" s="46" t="s">
        <v>354</v>
      </c>
      <c r="C26" s="46" t="s">
        <v>355</v>
      </c>
    </row>
    <row r="27" spans="1:3" ht="12.75">
      <c r="A27" s="30" t="s">
        <v>210</v>
      </c>
      <c r="B27" s="30" t="s">
        <v>369</v>
      </c>
      <c r="C27" s="30" t="s">
        <v>379</v>
      </c>
    </row>
  </sheetData>
  <sheetProtection/>
  <mergeCells count="12">
    <mergeCell ref="A1:M2"/>
    <mergeCell ref="A3:A4"/>
    <mergeCell ref="B3:B4"/>
    <mergeCell ref="C3:C4"/>
    <mergeCell ref="D3:D4"/>
    <mergeCell ref="E3:E4"/>
    <mergeCell ref="F3:F4"/>
    <mergeCell ref="G3:J3"/>
    <mergeCell ref="K3:K4"/>
    <mergeCell ref="L3:L4"/>
    <mergeCell ref="M3:M4"/>
    <mergeCell ref="A5:L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95"/>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3.37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12.125" style="30" bestFit="1" customWidth="1"/>
  </cols>
  <sheetData>
    <row r="1" spans="1:13" s="1" customFormat="1" ht="15" customHeight="1">
      <c r="A1" s="48" t="s">
        <v>1825</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2</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83</v>
      </c>
      <c r="B5" s="61"/>
      <c r="C5" s="61"/>
      <c r="D5" s="61"/>
      <c r="E5" s="61"/>
      <c r="F5" s="61"/>
      <c r="G5" s="61"/>
      <c r="H5" s="61"/>
      <c r="I5" s="61"/>
      <c r="J5" s="61"/>
      <c r="K5" s="61"/>
      <c r="L5" s="61"/>
    </row>
    <row r="6" spans="1:13" ht="12.75">
      <c r="A6" s="31" t="s">
        <v>1826</v>
      </c>
      <c r="B6" s="31" t="s">
        <v>1827</v>
      </c>
      <c r="C6" s="31" t="s">
        <v>1828</v>
      </c>
      <c r="D6" s="31" t="str">
        <f>"0,8670"</f>
        <v>0,8670</v>
      </c>
      <c r="E6" s="31" t="s">
        <v>172</v>
      </c>
      <c r="F6" s="31" t="s">
        <v>27</v>
      </c>
      <c r="G6" s="31" t="s">
        <v>69</v>
      </c>
      <c r="H6" s="32" t="s">
        <v>453</v>
      </c>
      <c r="I6" s="32" t="s">
        <v>21</v>
      </c>
      <c r="J6" s="32"/>
      <c r="K6" s="31">
        <v>80</v>
      </c>
      <c r="L6" s="31" t="str">
        <f>"69,3600"</f>
        <v>69,3600</v>
      </c>
      <c r="M6" s="31" t="s">
        <v>1306</v>
      </c>
    </row>
    <row r="8" spans="1:12" ht="15">
      <c r="A8" s="62" t="s">
        <v>93</v>
      </c>
      <c r="B8" s="62"/>
      <c r="C8" s="62"/>
      <c r="D8" s="62"/>
      <c r="E8" s="62"/>
      <c r="F8" s="62"/>
      <c r="G8" s="62"/>
      <c r="H8" s="62"/>
      <c r="I8" s="62"/>
      <c r="J8" s="62"/>
      <c r="K8" s="62"/>
      <c r="L8" s="62"/>
    </row>
    <row r="9" spans="1:13" ht="12.75">
      <c r="A9" s="33" t="s">
        <v>1829</v>
      </c>
      <c r="B9" s="33" t="s">
        <v>1318</v>
      </c>
      <c r="C9" s="33" t="s">
        <v>1830</v>
      </c>
      <c r="D9" s="33" t="str">
        <f>"0,7413"</f>
        <v>0,7413</v>
      </c>
      <c r="E9" s="33" t="s">
        <v>1034</v>
      </c>
      <c r="F9" s="33" t="s">
        <v>273</v>
      </c>
      <c r="G9" s="33" t="s">
        <v>70</v>
      </c>
      <c r="H9" s="33" t="s">
        <v>30</v>
      </c>
      <c r="I9" s="33" t="s">
        <v>39</v>
      </c>
      <c r="J9" s="34"/>
      <c r="K9" s="33">
        <v>120</v>
      </c>
      <c r="L9" s="33" t="str">
        <f>"88,9560"</f>
        <v>88,9560</v>
      </c>
      <c r="M9" s="33" t="s">
        <v>173</v>
      </c>
    </row>
    <row r="10" spans="1:13" ht="12.75">
      <c r="A10" s="37" t="s">
        <v>1831</v>
      </c>
      <c r="B10" s="37" t="s">
        <v>1832</v>
      </c>
      <c r="C10" s="37" t="s">
        <v>1833</v>
      </c>
      <c r="D10" s="37" t="str">
        <f>"0,7278"</f>
        <v>0,7278</v>
      </c>
      <c r="E10" s="37" t="s">
        <v>130</v>
      </c>
      <c r="F10" s="37" t="s">
        <v>131</v>
      </c>
      <c r="G10" s="37" t="s">
        <v>438</v>
      </c>
      <c r="H10" s="38" t="s">
        <v>466</v>
      </c>
      <c r="I10" s="38" t="s">
        <v>466</v>
      </c>
      <c r="J10" s="38"/>
      <c r="K10" s="37">
        <v>150</v>
      </c>
      <c r="L10" s="37" t="str">
        <f>"109,1700"</f>
        <v>109,1700</v>
      </c>
      <c r="M10" s="37" t="s">
        <v>134</v>
      </c>
    </row>
    <row r="12" spans="1:12" ht="15">
      <c r="A12" s="62" t="s">
        <v>108</v>
      </c>
      <c r="B12" s="62"/>
      <c r="C12" s="62"/>
      <c r="D12" s="62"/>
      <c r="E12" s="62"/>
      <c r="F12" s="62"/>
      <c r="G12" s="62"/>
      <c r="H12" s="62"/>
      <c r="I12" s="62"/>
      <c r="J12" s="62"/>
      <c r="K12" s="62"/>
      <c r="L12" s="62"/>
    </row>
    <row r="13" spans="1:13" ht="12.75">
      <c r="A13" s="31" t="s">
        <v>1834</v>
      </c>
      <c r="B13" s="31" t="s">
        <v>1835</v>
      </c>
      <c r="C13" s="31" t="s">
        <v>1836</v>
      </c>
      <c r="D13" s="31" t="str">
        <f>"0,6697"</f>
        <v>0,6697</v>
      </c>
      <c r="E13" s="31" t="s">
        <v>1316</v>
      </c>
      <c r="F13" s="31" t="s">
        <v>583</v>
      </c>
      <c r="G13" s="31" t="s">
        <v>438</v>
      </c>
      <c r="H13" s="31" t="s">
        <v>239</v>
      </c>
      <c r="I13" s="32" t="s">
        <v>466</v>
      </c>
      <c r="J13" s="32"/>
      <c r="K13" s="31">
        <v>157.5</v>
      </c>
      <c r="L13" s="31" t="str">
        <f>"105,4856"</f>
        <v>105,4856</v>
      </c>
      <c r="M13" s="31" t="s">
        <v>1837</v>
      </c>
    </row>
    <row r="15" spans="1:12" ht="15">
      <c r="A15" s="62" t="s">
        <v>152</v>
      </c>
      <c r="B15" s="62"/>
      <c r="C15" s="62"/>
      <c r="D15" s="62"/>
      <c r="E15" s="62"/>
      <c r="F15" s="62"/>
      <c r="G15" s="62"/>
      <c r="H15" s="62"/>
      <c r="I15" s="62"/>
      <c r="J15" s="62"/>
      <c r="K15" s="62"/>
      <c r="L15" s="62"/>
    </row>
    <row r="16" spans="1:13" ht="12.75">
      <c r="A16" s="31" t="s">
        <v>1838</v>
      </c>
      <c r="B16" s="31" t="s">
        <v>1839</v>
      </c>
      <c r="C16" s="31" t="s">
        <v>1840</v>
      </c>
      <c r="D16" s="31" t="str">
        <f>"0,6193"</f>
        <v>0,6193</v>
      </c>
      <c r="E16" s="31" t="s">
        <v>1034</v>
      </c>
      <c r="F16" s="31" t="s">
        <v>273</v>
      </c>
      <c r="G16" s="31" t="s">
        <v>433</v>
      </c>
      <c r="H16" s="31" t="s">
        <v>139</v>
      </c>
      <c r="I16" s="32" t="s">
        <v>123</v>
      </c>
      <c r="J16" s="32"/>
      <c r="K16" s="31">
        <v>170</v>
      </c>
      <c r="L16" s="31" t="str">
        <f>"114,9669"</f>
        <v>114,9669</v>
      </c>
      <c r="M16" s="31" t="s">
        <v>173</v>
      </c>
    </row>
    <row r="18" spans="1:12" ht="15">
      <c r="A18" s="62" t="s">
        <v>178</v>
      </c>
      <c r="B18" s="62"/>
      <c r="C18" s="62"/>
      <c r="D18" s="62"/>
      <c r="E18" s="62"/>
      <c r="F18" s="62"/>
      <c r="G18" s="62"/>
      <c r="H18" s="62"/>
      <c r="I18" s="62"/>
      <c r="J18" s="62"/>
      <c r="K18" s="62"/>
      <c r="L18" s="62"/>
    </row>
    <row r="19" spans="1:13" ht="12.75">
      <c r="A19" s="33" t="s">
        <v>1841</v>
      </c>
      <c r="B19" s="33" t="s">
        <v>1842</v>
      </c>
      <c r="C19" s="33" t="s">
        <v>686</v>
      </c>
      <c r="D19" s="33" t="str">
        <f>"0,5986"</f>
        <v>0,5986</v>
      </c>
      <c r="E19" s="33" t="s">
        <v>1123</v>
      </c>
      <c r="F19" s="33" t="s">
        <v>1843</v>
      </c>
      <c r="G19" s="33" t="s">
        <v>139</v>
      </c>
      <c r="H19" s="33" t="s">
        <v>123</v>
      </c>
      <c r="I19" s="33" t="s">
        <v>124</v>
      </c>
      <c r="J19" s="34"/>
      <c r="K19" s="33">
        <v>190</v>
      </c>
      <c r="L19" s="33" t="str">
        <f>"120,5580"</f>
        <v>120,5580</v>
      </c>
      <c r="M19" s="33" t="s">
        <v>1125</v>
      </c>
    </row>
    <row r="20" spans="1:13" ht="12.75">
      <c r="A20" s="35" t="s">
        <v>1844</v>
      </c>
      <c r="B20" s="35" t="s">
        <v>1845</v>
      </c>
      <c r="C20" s="35" t="s">
        <v>1846</v>
      </c>
      <c r="D20" s="35" t="str">
        <f>"0,5926"</f>
        <v>0,5926</v>
      </c>
      <c r="E20" s="35" t="s">
        <v>18</v>
      </c>
      <c r="F20" s="35" t="s">
        <v>19</v>
      </c>
      <c r="G20" s="35" t="s">
        <v>198</v>
      </c>
      <c r="H20" s="35" t="s">
        <v>192</v>
      </c>
      <c r="I20" s="35" t="s">
        <v>212</v>
      </c>
      <c r="J20" s="36"/>
      <c r="K20" s="35">
        <v>235</v>
      </c>
      <c r="L20" s="35" t="str">
        <f>"139,2610"</f>
        <v>139,2610</v>
      </c>
      <c r="M20" s="35" t="s">
        <v>839</v>
      </c>
    </row>
    <row r="21" spans="1:13" ht="12.75">
      <c r="A21" s="35" t="s">
        <v>1847</v>
      </c>
      <c r="B21" s="35" t="s">
        <v>1848</v>
      </c>
      <c r="C21" s="35" t="s">
        <v>1849</v>
      </c>
      <c r="D21" s="35" t="str">
        <f>"0,6007"</f>
        <v>0,6007</v>
      </c>
      <c r="E21" s="35" t="s">
        <v>26</v>
      </c>
      <c r="F21" s="35" t="s">
        <v>27</v>
      </c>
      <c r="G21" s="36" t="s">
        <v>140</v>
      </c>
      <c r="H21" s="35" t="s">
        <v>140</v>
      </c>
      <c r="I21" s="35" t="s">
        <v>219</v>
      </c>
      <c r="J21" s="36"/>
      <c r="K21" s="35">
        <v>207.5</v>
      </c>
      <c r="L21" s="35" t="str">
        <f>"124,6349"</f>
        <v>124,6349</v>
      </c>
      <c r="M21" s="35" t="s">
        <v>1174</v>
      </c>
    </row>
    <row r="22" spans="1:13" ht="12.75">
      <c r="A22" s="35" t="s">
        <v>1850</v>
      </c>
      <c r="B22" s="35" t="s">
        <v>1851</v>
      </c>
      <c r="C22" s="35" t="s">
        <v>1852</v>
      </c>
      <c r="D22" s="35" t="str">
        <f>"0,5993"</f>
        <v>0,5993</v>
      </c>
      <c r="E22" s="35" t="s">
        <v>799</v>
      </c>
      <c r="F22" s="35" t="s">
        <v>27</v>
      </c>
      <c r="G22" s="35" t="s">
        <v>252</v>
      </c>
      <c r="H22" s="35" t="s">
        <v>850</v>
      </c>
      <c r="I22" s="36" t="s">
        <v>219</v>
      </c>
      <c r="J22" s="36"/>
      <c r="K22" s="35">
        <v>202.5</v>
      </c>
      <c r="L22" s="35" t="str">
        <f>"121,3583"</f>
        <v>121,3583</v>
      </c>
      <c r="M22" s="35" t="s">
        <v>1174</v>
      </c>
    </row>
    <row r="23" spans="1:13" ht="12.75">
      <c r="A23" s="37" t="s">
        <v>1853</v>
      </c>
      <c r="B23" s="37" t="s">
        <v>1854</v>
      </c>
      <c r="C23" s="37" t="s">
        <v>1526</v>
      </c>
      <c r="D23" s="37" t="str">
        <f>"0,5935"</f>
        <v>0,5935</v>
      </c>
      <c r="E23" s="37" t="s">
        <v>791</v>
      </c>
      <c r="F23" s="37" t="s">
        <v>792</v>
      </c>
      <c r="G23" s="38" t="s">
        <v>63</v>
      </c>
      <c r="H23" s="37" t="s">
        <v>63</v>
      </c>
      <c r="I23" s="37" t="s">
        <v>438</v>
      </c>
      <c r="J23" s="38"/>
      <c r="K23" s="37">
        <v>150</v>
      </c>
      <c r="L23" s="37" t="str">
        <f>"107,1861"</f>
        <v>107,1861</v>
      </c>
      <c r="M23" s="37" t="s">
        <v>49</v>
      </c>
    </row>
    <row r="25" spans="1:12" ht="15">
      <c r="A25" s="62" t="s">
        <v>206</v>
      </c>
      <c r="B25" s="62"/>
      <c r="C25" s="62"/>
      <c r="D25" s="62"/>
      <c r="E25" s="62"/>
      <c r="F25" s="62"/>
      <c r="G25" s="62"/>
      <c r="H25" s="62"/>
      <c r="I25" s="62"/>
      <c r="J25" s="62"/>
      <c r="K25" s="62"/>
      <c r="L25" s="62"/>
    </row>
    <row r="26" spans="1:13" ht="12.75">
      <c r="A26" s="31" t="s">
        <v>1650</v>
      </c>
      <c r="B26" s="31" t="s">
        <v>1651</v>
      </c>
      <c r="C26" s="31" t="s">
        <v>1855</v>
      </c>
      <c r="D26" s="31" t="str">
        <f>"0,5578"</f>
        <v>0,5578</v>
      </c>
      <c r="E26" s="31" t="s">
        <v>105</v>
      </c>
      <c r="F26" s="31" t="s">
        <v>106</v>
      </c>
      <c r="G26" s="31" t="s">
        <v>62</v>
      </c>
      <c r="H26" s="31" t="s">
        <v>63</v>
      </c>
      <c r="I26" s="32"/>
      <c r="J26" s="32"/>
      <c r="K26" s="31">
        <v>140</v>
      </c>
      <c r="L26" s="31" t="str">
        <f>"103,8624"</f>
        <v>103,8624</v>
      </c>
      <c r="M26" s="31" t="s">
        <v>107</v>
      </c>
    </row>
    <row r="28" spans="1:12" ht="15">
      <c r="A28" s="62" t="s">
        <v>235</v>
      </c>
      <c r="B28" s="62"/>
      <c r="C28" s="62"/>
      <c r="D28" s="62"/>
      <c r="E28" s="62"/>
      <c r="F28" s="62"/>
      <c r="G28" s="62"/>
      <c r="H28" s="62"/>
      <c r="I28" s="62"/>
      <c r="J28" s="62"/>
      <c r="K28" s="62"/>
      <c r="L28" s="62"/>
    </row>
    <row r="29" spans="1:13" ht="12.75">
      <c r="A29" s="33" t="s">
        <v>1169</v>
      </c>
      <c r="B29" s="33" t="s">
        <v>1170</v>
      </c>
      <c r="C29" s="33" t="s">
        <v>1856</v>
      </c>
      <c r="D29" s="33" t="str">
        <f>"0,5411"</f>
        <v>0,5411</v>
      </c>
      <c r="E29" s="33" t="s">
        <v>799</v>
      </c>
      <c r="F29" s="33" t="s">
        <v>1173</v>
      </c>
      <c r="G29" s="34" t="s">
        <v>676</v>
      </c>
      <c r="H29" s="33" t="s">
        <v>266</v>
      </c>
      <c r="I29" s="33" t="s">
        <v>185</v>
      </c>
      <c r="J29" s="34"/>
      <c r="K29" s="33">
        <v>265</v>
      </c>
      <c r="L29" s="33" t="str">
        <f>"143,3915"</f>
        <v>143,3915</v>
      </c>
      <c r="M29" s="33" t="s">
        <v>1174</v>
      </c>
    </row>
    <row r="30" spans="1:13" ht="12.75">
      <c r="A30" s="35" t="s">
        <v>1169</v>
      </c>
      <c r="B30" s="35" t="s">
        <v>1857</v>
      </c>
      <c r="C30" s="35" t="s">
        <v>1856</v>
      </c>
      <c r="D30" s="35" t="str">
        <f>"0,5411"</f>
        <v>0,5411</v>
      </c>
      <c r="E30" s="35" t="s">
        <v>799</v>
      </c>
      <c r="F30" s="35" t="s">
        <v>1173</v>
      </c>
      <c r="G30" s="36" t="s">
        <v>676</v>
      </c>
      <c r="H30" s="35" t="s">
        <v>266</v>
      </c>
      <c r="I30" s="35" t="s">
        <v>185</v>
      </c>
      <c r="J30" s="36"/>
      <c r="K30" s="35">
        <v>265</v>
      </c>
      <c r="L30" s="35" t="str">
        <f>"156,5835"</f>
        <v>156,5835</v>
      </c>
      <c r="M30" s="35" t="s">
        <v>1174</v>
      </c>
    </row>
    <row r="31" spans="1:13" ht="12.75">
      <c r="A31" s="37" t="s">
        <v>1858</v>
      </c>
      <c r="B31" s="37" t="s">
        <v>1859</v>
      </c>
      <c r="C31" s="37" t="s">
        <v>1860</v>
      </c>
      <c r="D31" s="37" t="str">
        <f>"0,5375"</f>
        <v>0,5375</v>
      </c>
      <c r="E31" s="37" t="s">
        <v>1861</v>
      </c>
      <c r="F31" s="37" t="s">
        <v>1862</v>
      </c>
      <c r="G31" s="38" t="s">
        <v>125</v>
      </c>
      <c r="H31" s="37" t="s">
        <v>125</v>
      </c>
      <c r="I31" s="37" t="s">
        <v>198</v>
      </c>
      <c r="J31" s="38"/>
      <c r="K31" s="37">
        <v>215</v>
      </c>
      <c r="L31" s="37" t="str">
        <f>"132,2035"</f>
        <v>132,2035</v>
      </c>
      <c r="M31" s="37" t="s">
        <v>1863</v>
      </c>
    </row>
    <row r="33" spans="1:12" ht="15">
      <c r="A33" s="62" t="s">
        <v>262</v>
      </c>
      <c r="B33" s="62"/>
      <c r="C33" s="62"/>
      <c r="D33" s="62"/>
      <c r="E33" s="62"/>
      <c r="F33" s="62"/>
      <c r="G33" s="62"/>
      <c r="H33" s="62"/>
      <c r="I33" s="62"/>
      <c r="J33" s="62"/>
      <c r="K33" s="62"/>
      <c r="L33" s="62"/>
    </row>
    <row r="34" spans="1:13" ht="12.75">
      <c r="A34" s="31" t="s">
        <v>1864</v>
      </c>
      <c r="B34" s="31" t="s">
        <v>1865</v>
      </c>
      <c r="C34" s="31" t="s">
        <v>1866</v>
      </c>
      <c r="D34" s="31" t="str">
        <f>"0,5240"</f>
        <v>0,5240</v>
      </c>
      <c r="E34" s="31" t="s">
        <v>37</v>
      </c>
      <c r="F34" s="31" t="s">
        <v>38</v>
      </c>
      <c r="G34" s="32" t="s">
        <v>125</v>
      </c>
      <c r="H34" s="32" t="s">
        <v>125</v>
      </c>
      <c r="I34" s="32" t="s">
        <v>125</v>
      </c>
      <c r="J34" s="32"/>
      <c r="K34" s="31">
        <v>0</v>
      </c>
      <c r="L34" s="31" t="str">
        <f>"0,0000"</f>
        <v>0,0000</v>
      </c>
      <c r="M34" s="31" t="s">
        <v>41</v>
      </c>
    </row>
    <row r="36" spans="1:12" ht="15">
      <c r="A36" s="62" t="s">
        <v>268</v>
      </c>
      <c r="B36" s="62"/>
      <c r="C36" s="62"/>
      <c r="D36" s="62"/>
      <c r="E36" s="62"/>
      <c r="F36" s="62"/>
      <c r="G36" s="62"/>
      <c r="H36" s="62"/>
      <c r="I36" s="62"/>
      <c r="J36" s="62"/>
      <c r="K36" s="62"/>
      <c r="L36" s="62"/>
    </row>
    <row r="37" spans="1:13" ht="12.75">
      <c r="A37" s="31" t="s">
        <v>1867</v>
      </c>
      <c r="B37" s="31" t="s">
        <v>1868</v>
      </c>
      <c r="C37" s="31" t="s">
        <v>1869</v>
      </c>
      <c r="D37" s="31" t="str">
        <f>"0,5146"</f>
        <v>0,5146</v>
      </c>
      <c r="E37" s="31" t="s">
        <v>892</v>
      </c>
      <c r="F37" s="31" t="s">
        <v>27</v>
      </c>
      <c r="G37" s="32" t="s">
        <v>484</v>
      </c>
      <c r="H37" s="32" t="s">
        <v>741</v>
      </c>
      <c r="I37" s="32" t="s">
        <v>1870</v>
      </c>
      <c r="J37" s="32"/>
      <c r="K37" s="31">
        <v>0</v>
      </c>
      <c r="L37" s="31" t="str">
        <f>"0,0000"</f>
        <v>0,0000</v>
      </c>
      <c r="M37" s="31" t="s">
        <v>173</v>
      </c>
    </row>
    <row r="39" spans="5:6" ht="15">
      <c r="E39" s="39" t="s">
        <v>279</v>
      </c>
      <c r="F39" s="41" t="s">
        <v>1935</v>
      </c>
    </row>
    <row r="40" spans="5:6" ht="15">
      <c r="E40" s="39" t="s">
        <v>1940</v>
      </c>
      <c r="F40" s="41" t="s">
        <v>1941</v>
      </c>
    </row>
    <row r="41" spans="5:6" ht="15">
      <c r="E41" s="39" t="s">
        <v>280</v>
      </c>
      <c r="F41" s="41" t="s">
        <v>1936</v>
      </c>
    </row>
    <row r="42" spans="5:6" ht="15">
      <c r="E42" s="39" t="s">
        <v>281</v>
      </c>
      <c r="F42" s="41" t="s">
        <v>1939</v>
      </c>
    </row>
    <row r="43" spans="5:6" ht="15">
      <c r="E43" s="39" t="s">
        <v>282</v>
      </c>
      <c r="F43" s="41" t="s">
        <v>1943</v>
      </c>
    </row>
    <row r="44" spans="5:6" ht="15">
      <c r="E44" s="39" t="s">
        <v>282</v>
      </c>
      <c r="F44" s="41" t="s">
        <v>1944</v>
      </c>
    </row>
    <row r="45" spans="5:6" ht="15">
      <c r="E45" s="39" t="s">
        <v>283</v>
      </c>
      <c r="F45" s="41" t="s">
        <v>1942</v>
      </c>
    </row>
    <row r="46" spans="5:6" ht="15">
      <c r="E46" s="39" t="s">
        <v>1937</v>
      </c>
      <c r="F46" s="41" t="s">
        <v>1938</v>
      </c>
    </row>
    <row r="47" spans="1:2" ht="18">
      <c r="A47" s="40" t="s">
        <v>284</v>
      </c>
      <c r="B47" s="40"/>
    </row>
    <row r="48" spans="1:2" ht="15">
      <c r="A48" s="42" t="s">
        <v>285</v>
      </c>
      <c r="B48" s="42"/>
    </row>
    <row r="49" spans="1:2" ht="14.25">
      <c r="A49" s="44"/>
      <c r="B49" s="45" t="s">
        <v>301</v>
      </c>
    </row>
    <row r="50" spans="1:5" ht="15">
      <c r="A50" s="46" t="s">
        <v>287</v>
      </c>
      <c r="B50" s="46" t="s">
        <v>288</v>
      </c>
      <c r="C50" s="46" t="s">
        <v>289</v>
      </c>
      <c r="D50" s="46" t="s">
        <v>290</v>
      </c>
      <c r="E50" s="46" t="s">
        <v>291</v>
      </c>
    </row>
    <row r="51" spans="1:5" ht="12.75">
      <c r="A51" s="43" t="s">
        <v>1826</v>
      </c>
      <c r="B51" s="30" t="s">
        <v>301</v>
      </c>
      <c r="C51" s="30" t="s">
        <v>306</v>
      </c>
      <c r="D51" s="30" t="s">
        <v>69</v>
      </c>
      <c r="E51" s="47" t="s">
        <v>1871</v>
      </c>
    </row>
    <row r="54" spans="1:2" ht="15">
      <c r="A54" s="42" t="s">
        <v>312</v>
      </c>
      <c r="B54" s="42"/>
    </row>
    <row r="55" spans="1:2" ht="14.25">
      <c r="A55" s="44"/>
      <c r="B55" s="45" t="s">
        <v>286</v>
      </c>
    </row>
    <row r="56" spans="1:5" ht="15">
      <c r="A56" s="46" t="s">
        <v>287</v>
      </c>
      <c r="B56" s="46" t="s">
        <v>288</v>
      </c>
      <c r="C56" s="46" t="s">
        <v>289</v>
      </c>
      <c r="D56" s="46" t="s">
        <v>290</v>
      </c>
      <c r="E56" s="46" t="s">
        <v>291</v>
      </c>
    </row>
    <row r="57" spans="1:5" ht="12.75">
      <c r="A57" s="43" t="s">
        <v>1841</v>
      </c>
      <c r="B57" s="30" t="s">
        <v>479</v>
      </c>
      <c r="C57" s="30" t="s">
        <v>323</v>
      </c>
      <c r="D57" s="30" t="s">
        <v>124</v>
      </c>
      <c r="E57" s="47" t="s">
        <v>1872</v>
      </c>
    </row>
    <row r="59" spans="1:2" ht="14.25">
      <c r="A59" s="44"/>
      <c r="B59" s="45" t="s">
        <v>297</v>
      </c>
    </row>
    <row r="60" spans="1:5" ht="15">
      <c r="A60" s="46" t="s">
        <v>287</v>
      </c>
      <c r="B60" s="46" t="s">
        <v>288</v>
      </c>
      <c r="C60" s="46" t="s">
        <v>289</v>
      </c>
      <c r="D60" s="46" t="s">
        <v>290</v>
      </c>
      <c r="E60" s="46" t="s">
        <v>291</v>
      </c>
    </row>
    <row r="61" spans="1:5" ht="12.75">
      <c r="A61" s="43" t="s">
        <v>1829</v>
      </c>
      <c r="B61" s="30" t="s">
        <v>298</v>
      </c>
      <c r="C61" s="30" t="s">
        <v>309</v>
      </c>
      <c r="D61" s="30" t="s">
        <v>39</v>
      </c>
      <c r="E61" s="47" t="s">
        <v>1873</v>
      </c>
    </row>
    <row r="63" spans="1:2" ht="14.25">
      <c r="A63" s="44"/>
      <c r="B63" s="45" t="s">
        <v>301</v>
      </c>
    </row>
    <row r="64" spans="1:5" ht="15">
      <c r="A64" s="46" t="s">
        <v>287</v>
      </c>
      <c r="B64" s="46" t="s">
        <v>288</v>
      </c>
      <c r="C64" s="46" t="s">
        <v>289</v>
      </c>
      <c r="D64" s="46" t="s">
        <v>290</v>
      </c>
      <c r="E64" s="46" t="s">
        <v>291</v>
      </c>
    </row>
    <row r="65" spans="1:5" ht="12.75">
      <c r="A65" s="43" t="s">
        <v>1169</v>
      </c>
      <c r="B65" s="30" t="s">
        <v>301</v>
      </c>
      <c r="C65" s="30" t="s">
        <v>320</v>
      </c>
      <c r="D65" s="30" t="s">
        <v>185</v>
      </c>
      <c r="E65" s="47" t="s">
        <v>1874</v>
      </c>
    </row>
    <row r="66" spans="1:5" ht="12.75">
      <c r="A66" s="43" t="s">
        <v>1844</v>
      </c>
      <c r="B66" s="30" t="s">
        <v>301</v>
      </c>
      <c r="C66" s="30" t="s">
        <v>323</v>
      </c>
      <c r="D66" s="30" t="s">
        <v>212</v>
      </c>
      <c r="E66" s="47" t="s">
        <v>1875</v>
      </c>
    </row>
    <row r="67" spans="1:5" ht="12.75">
      <c r="A67" s="43" t="s">
        <v>1847</v>
      </c>
      <c r="B67" s="30" t="s">
        <v>301</v>
      </c>
      <c r="C67" s="30" t="s">
        <v>323</v>
      </c>
      <c r="D67" s="30" t="s">
        <v>219</v>
      </c>
      <c r="E67" s="47" t="s">
        <v>1876</v>
      </c>
    </row>
    <row r="68" spans="1:5" ht="12.75">
      <c r="A68" s="43" t="s">
        <v>1850</v>
      </c>
      <c r="B68" s="30" t="s">
        <v>301</v>
      </c>
      <c r="C68" s="30" t="s">
        <v>323</v>
      </c>
      <c r="D68" s="30" t="s">
        <v>850</v>
      </c>
      <c r="E68" s="47" t="s">
        <v>1877</v>
      </c>
    </row>
    <row r="69" spans="1:5" ht="12.75">
      <c r="A69" s="43" t="s">
        <v>1831</v>
      </c>
      <c r="B69" s="30" t="s">
        <v>301</v>
      </c>
      <c r="C69" s="30" t="s">
        <v>309</v>
      </c>
      <c r="D69" s="30" t="s">
        <v>438</v>
      </c>
      <c r="E69" s="47" t="s">
        <v>1878</v>
      </c>
    </row>
    <row r="70" spans="1:5" ht="12.75">
      <c r="A70" s="43" t="s">
        <v>1834</v>
      </c>
      <c r="B70" s="30" t="s">
        <v>301</v>
      </c>
      <c r="C70" s="30" t="s">
        <v>313</v>
      </c>
      <c r="D70" s="30" t="s">
        <v>239</v>
      </c>
      <c r="E70" s="47" t="s">
        <v>1879</v>
      </c>
    </row>
    <row r="72" spans="1:2" ht="14.25">
      <c r="A72" s="44"/>
      <c r="B72" s="45" t="s">
        <v>340</v>
      </c>
    </row>
    <row r="73" spans="1:5" ht="15">
      <c r="A73" s="46" t="s">
        <v>287</v>
      </c>
      <c r="B73" s="46" t="s">
        <v>288</v>
      </c>
      <c r="C73" s="46" t="s">
        <v>289</v>
      </c>
      <c r="D73" s="46" t="s">
        <v>290</v>
      </c>
      <c r="E73" s="46" t="s">
        <v>291</v>
      </c>
    </row>
    <row r="74" spans="1:5" ht="12.75">
      <c r="A74" s="43" t="s">
        <v>1169</v>
      </c>
      <c r="B74" s="30" t="s">
        <v>350</v>
      </c>
      <c r="C74" s="30" t="s">
        <v>320</v>
      </c>
      <c r="D74" s="30" t="s">
        <v>185</v>
      </c>
      <c r="E74" s="47" t="s">
        <v>1880</v>
      </c>
    </row>
    <row r="75" spans="1:5" ht="12.75">
      <c r="A75" s="43" t="s">
        <v>1858</v>
      </c>
      <c r="B75" s="30" t="s">
        <v>350</v>
      </c>
      <c r="C75" s="30" t="s">
        <v>320</v>
      </c>
      <c r="D75" s="30" t="s">
        <v>198</v>
      </c>
      <c r="E75" s="47" t="s">
        <v>1881</v>
      </c>
    </row>
    <row r="76" spans="1:5" ht="12.75">
      <c r="A76" s="43" t="s">
        <v>1838</v>
      </c>
      <c r="B76" s="30" t="s">
        <v>350</v>
      </c>
      <c r="C76" s="30" t="s">
        <v>318</v>
      </c>
      <c r="D76" s="30" t="s">
        <v>139</v>
      </c>
      <c r="E76" s="47" t="s">
        <v>1882</v>
      </c>
    </row>
    <row r="77" spans="1:5" ht="12.75">
      <c r="A77" s="43" t="s">
        <v>1853</v>
      </c>
      <c r="B77" s="30" t="s">
        <v>346</v>
      </c>
      <c r="C77" s="30" t="s">
        <v>323</v>
      </c>
      <c r="D77" s="30" t="s">
        <v>438</v>
      </c>
      <c r="E77" s="47" t="s">
        <v>1883</v>
      </c>
    </row>
    <row r="78" spans="1:5" ht="12.75">
      <c r="A78" s="43" t="s">
        <v>1650</v>
      </c>
      <c r="B78" s="30" t="s">
        <v>346</v>
      </c>
      <c r="C78" s="30" t="s">
        <v>315</v>
      </c>
      <c r="D78" s="30" t="s">
        <v>63</v>
      </c>
      <c r="E78" s="47" t="s">
        <v>1884</v>
      </c>
    </row>
    <row r="83" spans="1:2" ht="18">
      <c r="A83" s="40" t="s">
        <v>352</v>
      </c>
      <c r="B83" s="40"/>
    </row>
    <row r="84" spans="1:3" ht="15">
      <c r="A84" s="46" t="s">
        <v>353</v>
      </c>
      <c r="B84" s="46" t="s">
        <v>354</v>
      </c>
      <c r="C84" s="46" t="s">
        <v>355</v>
      </c>
    </row>
    <row r="85" spans="1:3" ht="12.75">
      <c r="A85" s="30" t="s">
        <v>799</v>
      </c>
      <c r="B85" s="30" t="s">
        <v>967</v>
      </c>
      <c r="C85" s="30" t="s">
        <v>1885</v>
      </c>
    </row>
    <row r="86" spans="1:3" ht="12.75">
      <c r="A86" s="30" t="s">
        <v>1034</v>
      </c>
      <c r="B86" s="30" t="s">
        <v>360</v>
      </c>
      <c r="C86" s="30" t="s">
        <v>1886</v>
      </c>
    </row>
    <row r="87" spans="1:3" ht="12.75">
      <c r="A87" s="30" t="s">
        <v>1316</v>
      </c>
      <c r="B87" s="30" t="s">
        <v>369</v>
      </c>
      <c r="C87" s="30" t="s">
        <v>1887</v>
      </c>
    </row>
    <row r="88" spans="1:3" ht="12.75">
      <c r="A88" s="30" t="s">
        <v>172</v>
      </c>
      <c r="B88" s="30" t="s">
        <v>369</v>
      </c>
      <c r="C88" s="30" t="s">
        <v>1888</v>
      </c>
    </row>
    <row r="89" spans="1:3" ht="12.75">
      <c r="A89" s="30" t="s">
        <v>1123</v>
      </c>
      <c r="B89" s="30" t="s">
        <v>369</v>
      </c>
      <c r="C89" s="30" t="s">
        <v>1889</v>
      </c>
    </row>
    <row r="90" spans="1:3" ht="12.75">
      <c r="A90" s="30" t="s">
        <v>791</v>
      </c>
      <c r="B90" s="30" t="s">
        <v>369</v>
      </c>
      <c r="C90" s="30" t="s">
        <v>1890</v>
      </c>
    </row>
    <row r="91" spans="1:3" ht="12.75">
      <c r="A91" s="30" t="s">
        <v>130</v>
      </c>
      <c r="B91" s="30" t="s">
        <v>369</v>
      </c>
      <c r="C91" s="30" t="s">
        <v>1891</v>
      </c>
    </row>
    <row r="92" spans="1:3" ht="12.75">
      <c r="A92" s="30" t="s">
        <v>105</v>
      </c>
      <c r="B92" s="30" t="s">
        <v>369</v>
      </c>
      <c r="C92" s="30" t="s">
        <v>1892</v>
      </c>
    </row>
    <row r="93" spans="1:3" ht="12.75">
      <c r="A93" s="30" t="s">
        <v>18</v>
      </c>
      <c r="B93" s="30" t="s">
        <v>369</v>
      </c>
      <c r="C93" s="30" t="s">
        <v>1893</v>
      </c>
    </row>
    <row r="94" spans="1:3" ht="12.75">
      <c r="A94" s="30" t="s">
        <v>26</v>
      </c>
      <c r="B94" s="30" t="s">
        <v>381</v>
      </c>
      <c r="C94" s="30" t="s">
        <v>1894</v>
      </c>
    </row>
    <row r="95" spans="1:3" ht="12.75">
      <c r="A95" s="30" t="s">
        <v>1861</v>
      </c>
      <c r="B95" s="30" t="s">
        <v>381</v>
      </c>
      <c r="C95" s="30" t="s">
        <v>1895</v>
      </c>
    </row>
  </sheetData>
  <sheetProtection/>
  <mergeCells count="20">
    <mergeCell ref="A25:L25"/>
    <mergeCell ref="A28:L28"/>
    <mergeCell ref="A33:L33"/>
    <mergeCell ref="A36:L36"/>
    <mergeCell ref="M3:M4"/>
    <mergeCell ref="A5:L5"/>
    <mergeCell ref="A8:L8"/>
    <mergeCell ref="A12:L12"/>
    <mergeCell ref="A15:L15"/>
    <mergeCell ref="A18:L18"/>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9"/>
  <sheetViews>
    <sheetView tabSelected="1" zoomScalePageLayoutView="0" workbookViewId="0" topLeftCell="A1">
      <selection activeCell="A1" sqref="A1:M2"/>
    </sheetView>
  </sheetViews>
  <sheetFormatPr defaultColWidth="9.00390625" defaultRowHeight="12.75"/>
  <cols>
    <col min="1" max="1" width="31.875" style="30" bestFit="1" customWidth="1"/>
    <col min="2" max="2" width="27.375" style="30" customWidth="1"/>
    <col min="3" max="3" width="11.75390625" style="30" customWidth="1"/>
    <col min="4" max="4" width="10.625" style="30" bestFit="1" customWidth="1"/>
    <col min="5" max="5" width="22.75390625" style="30" bestFit="1" customWidth="1"/>
    <col min="6" max="6" width="39.625" style="30" bestFit="1" customWidth="1"/>
    <col min="7" max="10" width="5.625" style="30" bestFit="1" customWidth="1"/>
    <col min="11" max="11" width="7.875" style="30" bestFit="1" customWidth="1"/>
    <col min="12" max="12" width="8.625" style="30" bestFit="1" customWidth="1"/>
    <col min="13" max="13" width="21.00390625" style="30" bestFit="1" customWidth="1"/>
  </cols>
  <sheetData>
    <row r="1" spans="1:13" s="1" customFormat="1" ht="15" customHeight="1">
      <c r="A1" s="48" t="s">
        <v>1336</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2</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33</v>
      </c>
      <c r="B5" s="61"/>
      <c r="C5" s="61"/>
      <c r="D5" s="61"/>
      <c r="E5" s="61"/>
      <c r="F5" s="61"/>
      <c r="G5" s="61"/>
      <c r="H5" s="61"/>
      <c r="I5" s="61"/>
      <c r="J5" s="61"/>
      <c r="K5" s="61"/>
      <c r="L5" s="61"/>
    </row>
    <row r="6" spans="1:13" ht="12.75">
      <c r="A6" s="33" t="s">
        <v>1337</v>
      </c>
      <c r="B6" s="33" t="s">
        <v>1338</v>
      </c>
      <c r="C6" s="33" t="s">
        <v>1339</v>
      </c>
      <c r="D6" s="33" t="str">
        <f>"1,0845"</f>
        <v>1,0845</v>
      </c>
      <c r="E6" s="33" t="s">
        <v>1340</v>
      </c>
      <c r="F6" s="33" t="s">
        <v>27</v>
      </c>
      <c r="G6" s="33" t="s">
        <v>517</v>
      </c>
      <c r="H6" s="33" t="s">
        <v>1341</v>
      </c>
      <c r="I6" s="33" t="s">
        <v>392</v>
      </c>
      <c r="J6" s="34"/>
      <c r="K6" s="33">
        <v>35</v>
      </c>
      <c r="L6" s="33" t="str">
        <f>"40,9941"</f>
        <v>40,9941</v>
      </c>
      <c r="M6" s="33" t="s">
        <v>1342</v>
      </c>
    </row>
    <row r="7" spans="1:13" ht="12.75">
      <c r="A7" s="37" t="s">
        <v>1343</v>
      </c>
      <c r="B7" s="37" t="s">
        <v>1344</v>
      </c>
      <c r="C7" s="37" t="s">
        <v>1345</v>
      </c>
      <c r="D7" s="37" t="str">
        <f>"1,0388"</f>
        <v>1,0388</v>
      </c>
      <c r="E7" s="37" t="s">
        <v>26</v>
      </c>
      <c r="F7" s="37" t="s">
        <v>27</v>
      </c>
      <c r="G7" s="38" t="s">
        <v>403</v>
      </c>
      <c r="H7" s="37" t="s">
        <v>407</v>
      </c>
      <c r="I7" s="38" t="s">
        <v>400</v>
      </c>
      <c r="J7" s="38"/>
      <c r="K7" s="37">
        <v>50</v>
      </c>
      <c r="L7" s="37" t="str">
        <f>"52,8749"</f>
        <v>52,8749</v>
      </c>
      <c r="M7" s="37" t="s">
        <v>49</v>
      </c>
    </row>
    <row r="9" spans="1:12" ht="15">
      <c r="A9" s="62" t="s">
        <v>50</v>
      </c>
      <c r="B9" s="62"/>
      <c r="C9" s="62"/>
      <c r="D9" s="62"/>
      <c r="E9" s="62"/>
      <c r="F9" s="62"/>
      <c r="G9" s="62"/>
      <c r="H9" s="62"/>
      <c r="I9" s="62"/>
      <c r="J9" s="62"/>
      <c r="K9" s="62"/>
      <c r="L9" s="62"/>
    </row>
    <row r="10" spans="1:13" ht="12.75">
      <c r="A10" s="31" t="s">
        <v>1346</v>
      </c>
      <c r="B10" s="31" t="s">
        <v>1347</v>
      </c>
      <c r="C10" s="31" t="s">
        <v>1348</v>
      </c>
      <c r="D10" s="31" t="str">
        <f>"0,9770"</f>
        <v>0,9770</v>
      </c>
      <c r="E10" s="31" t="s">
        <v>26</v>
      </c>
      <c r="F10" s="31" t="s">
        <v>27</v>
      </c>
      <c r="G10" s="32" t="s">
        <v>408</v>
      </c>
      <c r="H10" s="32" t="s">
        <v>390</v>
      </c>
      <c r="I10" s="31" t="s">
        <v>390</v>
      </c>
      <c r="J10" s="32"/>
      <c r="K10" s="31">
        <v>60</v>
      </c>
      <c r="L10" s="31" t="str">
        <f>"58,6200"</f>
        <v>58,6200</v>
      </c>
      <c r="M10" s="31" t="s">
        <v>1349</v>
      </c>
    </row>
    <row r="12" spans="1:12" ht="15">
      <c r="A12" s="62" t="s">
        <v>73</v>
      </c>
      <c r="B12" s="62"/>
      <c r="C12" s="62"/>
      <c r="D12" s="62"/>
      <c r="E12" s="62"/>
      <c r="F12" s="62"/>
      <c r="G12" s="62"/>
      <c r="H12" s="62"/>
      <c r="I12" s="62"/>
      <c r="J12" s="62"/>
      <c r="K12" s="62"/>
      <c r="L12" s="62"/>
    </row>
    <row r="13" spans="1:13" ht="12.75">
      <c r="A13" s="31" t="s">
        <v>1350</v>
      </c>
      <c r="B13" s="31" t="s">
        <v>1351</v>
      </c>
      <c r="C13" s="31" t="s">
        <v>1084</v>
      </c>
      <c r="D13" s="31" t="str">
        <f>"0,9124"</f>
        <v>0,9124</v>
      </c>
      <c r="E13" s="31" t="s">
        <v>26</v>
      </c>
      <c r="F13" s="31" t="s">
        <v>27</v>
      </c>
      <c r="G13" s="31" t="s">
        <v>400</v>
      </c>
      <c r="H13" s="31" t="s">
        <v>390</v>
      </c>
      <c r="I13" s="32" t="s">
        <v>394</v>
      </c>
      <c r="J13" s="32"/>
      <c r="K13" s="31">
        <v>60</v>
      </c>
      <c r="L13" s="31" t="str">
        <f>"54,7440"</f>
        <v>54,7440</v>
      </c>
      <c r="M13" s="31" t="s">
        <v>173</v>
      </c>
    </row>
    <row r="15" spans="1:12" ht="15">
      <c r="A15" s="62" t="s">
        <v>83</v>
      </c>
      <c r="B15" s="62"/>
      <c r="C15" s="62"/>
      <c r="D15" s="62"/>
      <c r="E15" s="62"/>
      <c r="F15" s="62"/>
      <c r="G15" s="62"/>
      <c r="H15" s="62"/>
      <c r="I15" s="62"/>
      <c r="J15" s="62"/>
      <c r="K15" s="62"/>
      <c r="L15" s="62"/>
    </row>
    <row r="16" spans="1:13" ht="12.75">
      <c r="A16" s="33" t="s">
        <v>1352</v>
      </c>
      <c r="B16" s="33" t="s">
        <v>1353</v>
      </c>
      <c r="C16" s="33" t="s">
        <v>548</v>
      </c>
      <c r="D16" s="33" t="str">
        <f>"0,8769"</f>
        <v>0,8769</v>
      </c>
      <c r="E16" s="33" t="s">
        <v>621</v>
      </c>
      <c r="F16" s="33" t="s">
        <v>27</v>
      </c>
      <c r="G16" s="33" t="s">
        <v>453</v>
      </c>
      <c r="H16" s="33" t="s">
        <v>1354</v>
      </c>
      <c r="I16" s="33" t="s">
        <v>28</v>
      </c>
      <c r="J16" s="33" t="s">
        <v>432</v>
      </c>
      <c r="K16" s="33">
        <v>100</v>
      </c>
      <c r="L16" s="33" t="str">
        <f>"87,6900"</f>
        <v>87,6900</v>
      </c>
      <c r="M16" s="33" t="s">
        <v>1306</v>
      </c>
    </row>
    <row r="17" spans="1:13" ht="12.75">
      <c r="A17" s="37" t="s">
        <v>1355</v>
      </c>
      <c r="B17" s="37" t="s">
        <v>1356</v>
      </c>
      <c r="C17" s="37" t="s">
        <v>1052</v>
      </c>
      <c r="D17" s="37" t="str">
        <f>"0,8609"</f>
        <v>0,8609</v>
      </c>
      <c r="E17" s="37" t="s">
        <v>45</v>
      </c>
      <c r="F17" s="37" t="s">
        <v>46</v>
      </c>
      <c r="G17" s="37" t="s">
        <v>394</v>
      </c>
      <c r="H17" s="37" t="s">
        <v>391</v>
      </c>
      <c r="I17" s="37" t="s">
        <v>421</v>
      </c>
      <c r="J17" s="38"/>
      <c r="K17" s="37">
        <v>72.5</v>
      </c>
      <c r="L17" s="37" t="str">
        <f>"62,4152"</f>
        <v>62,4152</v>
      </c>
      <c r="M17" s="37" t="s">
        <v>1357</v>
      </c>
    </row>
    <row r="19" spans="1:12" ht="15">
      <c r="A19" s="62" t="s">
        <v>93</v>
      </c>
      <c r="B19" s="62"/>
      <c r="C19" s="62"/>
      <c r="D19" s="62"/>
      <c r="E19" s="62"/>
      <c r="F19" s="62"/>
      <c r="G19" s="62"/>
      <c r="H19" s="62"/>
      <c r="I19" s="62"/>
      <c r="J19" s="62"/>
      <c r="K19" s="62"/>
      <c r="L19" s="62"/>
    </row>
    <row r="20" spans="1:13" ht="12.75">
      <c r="A20" s="33" t="s">
        <v>1063</v>
      </c>
      <c r="B20" s="33" t="s">
        <v>1064</v>
      </c>
      <c r="C20" s="33" t="s">
        <v>1065</v>
      </c>
      <c r="D20" s="33" t="str">
        <f>"0,8026"</f>
        <v>0,8026</v>
      </c>
      <c r="E20" s="33" t="s">
        <v>112</v>
      </c>
      <c r="F20" s="33" t="s">
        <v>38</v>
      </c>
      <c r="G20" s="34" t="s">
        <v>392</v>
      </c>
      <c r="H20" s="34"/>
      <c r="I20" s="34"/>
      <c r="J20" s="34"/>
      <c r="K20" s="33">
        <v>0</v>
      </c>
      <c r="L20" s="33" t="str">
        <f>"0,0000"</f>
        <v>0,0000</v>
      </c>
      <c r="M20" s="33" t="s">
        <v>41</v>
      </c>
    </row>
    <row r="21" spans="1:13" ht="12.75">
      <c r="A21" s="35" t="s">
        <v>1358</v>
      </c>
      <c r="B21" s="35" t="s">
        <v>1359</v>
      </c>
      <c r="C21" s="35" t="s">
        <v>1360</v>
      </c>
      <c r="D21" s="35" t="str">
        <f>"0,8468"</f>
        <v>0,8468</v>
      </c>
      <c r="E21" s="35" t="s">
        <v>1361</v>
      </c>
      <c r="F21" s="35" t="s">
        <v>27</v>
      </c>
      <c r="G21" s="35" t="s">
        <v>394</v>
      </c>
      <c r="H21" s="35" t="s">
        <v>421</v>
      </c>
      <c r="I21" s="36" t="s">
        <v>395</v>
      </c>
      <c r="J21" s="36"/>
      <c r="K21" s="35">
        <v>72.5</v>
      </c>
      <c r="L21" s="35" t="str">
        <f>"61,3894"</f>
        <v>61,3894</v>
      </c>
      <c r="M21" s="35" t="s">
        <v>1362</v>
      </c>
    </row>
    <row r="22" spans="1:13" ht="12.75">
      <c r="A22" s="35" t="s">
        <v>1363</v>
      </c>
      <c r="B22" s="35" t="s">
        <v>1364</v>
      </c>
      <c r="C22" s="35" t="s">
        <v>1365</v>
      </c>
      <c r="D22" s="35" t="str">
        <f>"0,8230"</f>
        <v>0,8230</v>
      </c>
      <c r="E22" s="35" t="s">
        <v>97</v>
      </c>
      <c r="F22" s="35" t="s">
        <v>98</v>
      </c>
      <c r="G22" s="36" t="s">
        <v>393</v>
      </c>
      <c r="H22" s="35" t="s">
        <v>393</v>
      </c>
      <c r="I22" s="35" t="s">
        <v>407</v>
      </c>
      <c r="J22" s="36"/>
      <c r="K22" s="35">
        <v>50</v>
      </c>
      <c r="L22" s="35" t="str">
        <f>"41,1475"</f>
        <v>41,1475</v>
      </c>
      <c r="M22" s="35" t="s">
        <v>1366</v>
      </c>
    </row>
    <row r="23" spans="1:13" ht="12.75">
      <c r="A23" s="35" t="s">
        <v>1367</v>
      </c>
      <c r="B23" s="35" t="s">
        <v>1368</v>
      </c>
      <c r="C23" s="35" t="s">
        <v>1369</v>
      </c>
      <c r="D23" s="35" t="str">
        <f>"0,8079"</f>
        <v>0,8079</v>
      </c>
      <c r="E23" s="35" t="s">
        <v>26</v>
      </c>
      <c r="F23" s="35" t="s">
        <v>27</v>
      </c>
      <c r="G23" s="35" t="s">
        <v>393</v>
      </c>
      <c r="H23" s="36" t="s">
        <v>407</v>
      </c>
      <c r="I23" s="35" t="s">
        <v>407</v>
      </c>
      <c r="J23" s="36"/>
      <c r="K23" s="35">
        <v>50</v>
      </c>
      <c r="L23" s="35" t="str">
        <f>"40,3925"</f>
        <v>40,3925</v>
      </c>
      <c r="M23" s="35" t="s">
        <v>579</v>
      </c>
    </row>
    <row r="24" spans="1:13" ht="12.75">
      <c r="A24" s="35" t="s">
        <v>1370</v>
      </c>
      <c r="B24" s="35" t="s">
        <v>1371</v>
      </c>
      <c r="C24" s="35" t="s">
        <v>1372</v>
      </c>
      <c r="D24" s="35" t="str">
        <f>"0,8432"</f>
        <v>0,8432</v>
      </c>
      <c r="E24" s="35" t="s">
        <v>26</v>
      </c>
      <c r="F24" s="35" t="s">
        <v>27</v>
      </c>
      <c r="G24" s="36" t="s">
        <v>39</v>
      </c>
      <c r="H24" s="36"/>
      <c r="I24" s="36"/>
      <c r="J24" s="36"/>
      <c r="K24" s="35">
        <v>0</v>
      </c>
      <c r="L24" s="35" t="str">
        <f>"0,0000"</f>
        <v>0,0000</v>
      </c>
      <c r="M24" s="35" t="s">
        <v>173</v>
      </c>
    </row>
    <row r="25" spans="1:13" ht="12.75">
      <c r="A25" s="37" t="s">
        <v>1373</v>
      </c>
      <c r="B25" s="37" t="s">
        <v>1374</v>
      </c>
      <c r="C25" s="37" t="s">
        <v>1375</v>
      </c>
      <c r="D25" s="37" t="str">
        <f>"0,8313"</f>
        <v>0,8313</v>
      </c>
      <c r="E25" s="37" t="s">
        <v>61</v>
      </c>
      <c r="F25" s="37" t="s">
        <v>46</v>
      </c>
      <c r="G25" s="38" t="s">
        <v>390</v>
      </c>
      <c r="H25" s="37" t="s">
        <v>390</v>
      </c>
      <c r="I25" s="37" t="s">
        <v>394</v>
      </c>
      <c r="J25" s="38"/>
      <c r="K25" s="37">
        <v>65</v>
      </c>
      <c r="L25" s="37" t="str">
        <f>"54,1966"</f>
        <v>54,1966</v>
      </c>
      <c r="M25" s="37" t="s">
        <v>1357</v>
      </c>
    </row>
    <row r="27" spans="1:12" ht="15">
      <c r="A27" s="62" t="s">
        <v>108</v>
      </c>
      <c r="B27" s="62"/>
      <c r="C27" s="62"/>
      <c r="D27" s="62"/>
      <c r="E27" s="62"/>
      <c r="F27" s="62"/>
      <c r="G27" s="62"/>
      <c r="H27" s="62"/>
      <c r="I27" s="62"/>
      <c r="J27" s="62"/>
      <c r="K27" s="62"/>
      <c r="L27" s="62"/>
    </row>
    <row r="28" spans="1:13" ht="12.75">
      <c r="A28" s="33" t="s">
        <v>1073</v>
      </c>
      <c r="B28" s="33" t="s">
        <v>1074</v>
      </c>
      <c r="C28" s="33" t="s">
        <v>1376</v>
      </c>
      <c r="D28" s="33" t="str">
        <f>"0,7490"</f>
        <v>0,7490</v>
      </c>
      <c r="E28" s="33" t="s">
        <v>1377</v>
      </c>
      <c r="F28" s="33" t="s">
        <v>1077</v>
      </c>
      <c r="G28" s="33" t="s">
        <v>390</v>
      </c>
      <c r="H28" s="33" t="s">
        <v>391</v>
      </c>
      <c r="I28" s="33" t="s">
        <v>421</v>
      </c>
      <c r="J28" s="34"/>
      <c r="K28" s="33">
        <v>72.5</v>
      </c>
      <c r="L28" s="33" t="str">
        <f>"54,3025"</f>
        <v>54,3025</v>
      </c>
      <c r="M28" s="33" t="s">
        <v>49</v>
      </c>
    </row>
    <row r="29" spans="1:13" ht="12.75">
      <c r="A29" s="37" t="s">
        <v>1378</v>
      </c>
      <c r="B29" s="37" t="s">
        <v>1379</v>
      </c>
      <c r="C29" s="37" t="s">
        <v>1380</v>
      </c>
      <c r="D29" s="37" t="str">
        <f>"0,7244"</f>
        <v>0,7244</v>
      </c>
      <c r="E29" s="37" t="s">
        <v>26</v>
      </c>
      <c r="F29" s="37" t="s">
        <v>27</v>
      </c>
      <c r="G29" s="37" t="s">
        <v>400</v>
      </c>
      <c r="H29" s="38" t="s">
        <v>1381</v>
      </c>
      <c r="I29" s="38" t="s">
        <v>1381</v>
      </c>
      <c r="J29" s="38"/>
      <c r="K29" s="37">
        <v>55</v>
      </c>
      <c r="L29" s="37" t="str">
        <f>"41,7544"</f>
        <v>41,7544</v>
      </c>
      <c r="M29" s="37" t="s">
        <v>49</v>
      </c>
    </row>
    <row r="31" spans="1:12" ht="15">
      <c r="A31" s="62" t="s">
        <v>152</v>
      </c>
      <c r="B31" s="62"/>
      <c r="C31" s="62"/>
      <c r="D31" s="62"/>
      <c r="E31" s="62"/>
      <c r="F31" s="62"/>
      <c r="G31" s="62"/>
      <c r="H31" s="62"/>
      <c r="I31" s="62"/>
      <c r="J31" s="62"/>
      <c r="K31" s="62"/>
      <c r="L31" s="62"/>
    </row>
    <row r="32" spans="1:13" ht="12.75">
      <c r="A32" s="33" t="s">
        <v>1078</v>
      </c>
      <c r="B32" s="33" t="s">
        <v>1079</v>
      </c>
      <c r="C32" s="33" t="s">
        <v>1080</v>
      </c>
      <c r="D32" s="33" t="str">
        <f>"0,7084"</f>
        <v>0,7084</v>
      </c>
      <c r="E32" s="33" t="s">
        <v>26</v>
      </c>
      <c r="F32" s="33" t="s">
        <v>27</v>
      </c>
      <c r="G32" s="33" t="s">
        <v>409</v>
      </c>
      <c r="H32" s="33" t="s">
        <v>401</v>
      </c>
      <c r="I32" s="33" t="s">
        <v>421</v>
      </c>
      <c r="J32" s="34"/>
      <c r="K32" s="33">
        <v>72.5</v>
      </c>
      <c r="L32" s="33" t="str">
        <f>"51,8689"</f>
        <v>51,8689</v>
      </c>
      <c r="M32" s="33" t="s">
        <v>1081</v>
      </c>
    </row>
    <row r="33" spans="1:13" ht="12.75">
      <c r="A33" s="37" t="s">
        <v>1382</v>
      </c>
      <c r="B33" s="37" t="s">
        <v>1383</v>
      </c>
      <c r="C33" s="37" t="s">
        <v>1384</v>
      </c>
      <c r="D33" s="37" t="str">
        <f>"0,7057"</f>
        <v>0,7057</v>
      </c>
      <c r="E33" s="37" t="s">
        <v>26</v>
      </c>
      <c r="F33" s="37" t="s">
        <v>27</v>
      </c>
      <c r="G33" s="37" t="s">
        <v>409</v>
      </c>
      <c r="H33" s="38" t="s">
        <v>401</v>
      </c>
      <c r="I33" s="38" t="s">
        <v>401</v>
      </c>
      <c r="J33" s="38"/>
      <c r="K33" s="37">
        <v>62.5</v>
      </c>
      <c r="L33" s="37" t="str">
        <f>"44,1062"</f>
        <v>44,1062</v>
      </c>
      <c r="M33" s="37" t="s">
        <v>49</v>
      </c>
    </row>
    <row r="35" spans="1:12" ht="15">
      <c r="A35" s="62" t="s">
        <v>73</v>
      </c>
      <c r="B35" s="62"/>
      <c r="C35" s="62"/>
      <c r="D35" s="62"/>
      <c r="E35" s="62"/>
      <c r="F35" s="62"/>
      <c r="G35" s="62"/>
      <c r="H35" s="62"/>
      <c r="I35" s="62"/>
      <c r="J35" s="62"/>
      <c r="K35" s="62"/>
      <c r="L35" s="62"/>
    </row>
    <row r="36" spans="1:13" ht="12.75">
      <c r="A36" s="33" t="s">
        <v>1385</v>
      </c>
      <c r="B36" s="33" t="s">
        <v>1386</v>
      </c>
      <c r="C36" s="33" t="s">
        <v>1387</v>
      </c>
      <c r="D36" s="33" t="str">
        <f>"0,8952"</f>
        <v>0,8952</v>
      </c>
      <c r="E36" s="33" t="s">
        <v>224</v>
      </c>
      <c r="F36" s="33" t="s">
        <v>225</v>
      </c>
      <c r="G36" s="33" t="s">
        <v>69</v>
      </c>
      <c r="H36" s="33" t="s">
        <v>453</v>
      </c>
      <c r="I36" s="34" t="s">
        <v>21</v>
      </c>
      <c r="J36" s="34"/>
      <c r="K36" s="33">
        <v>87.5</v>
      </c>
      <c r="L36" s="33" t="str">
        <f>"84,5964"</f>
        <v>84,5964</v>
      </c>
      <c r="M36" s="33" t="s">
        <v>1129</v>
      </c>
    </row>
    <row r="37" spans="1:13" ht="12.75">
      <c r="A37" s="35" t="s">
        <v>1388</v>
      </c>
      <c r="B37" s="35" t="s">
        <v>1389</v>
      </c>
      <c r="C37" s="35" t="s">
        <v>1390</v>
      </c>
      <c r="D37" s="35" t="str">
        <f>"0,8989"</f>
        <v>0,8989</v>
      </c>
      <c r="E37" s="35" t="s">
        <v>399</v>
      </c>
      <c r="F37" s="35" t="s">
        <v>389</v>
      </c>
      <c r="G37" s="35" t="s">
        <v>48</v>
      </c>
      <c r="H37" s="35" t="s">
        <v>99</v>
      </c>
      <c r="I37" s="35" t="s">
        <v>62</v>
      </c>
      <c r="J37" s="36"/>
      <c r="K37" s="35">
        <v>130</v>
      </c>
      <c r="L37" s="35" t="str">
        <f>"119,1875"</f>
        <v>119,1875</v>
      </c>
      <c r="M37" s="35" t="s">
        <v>1072</v>
      </c>
    </row>
    <row r="38" spans="1:13" ht="12.75">
      <c r="A38" s="37" t="s">
        <v>1388</v>
      </c>
      <c r="B38" s="37" t="s">
        <v>1391</v>
      </c>
      <c r="C38" s="37" t="s">
        <v>1390</v>
      </c>
      <c r="D38" s="37" t="str">
        <f>"0,8989"</f>
        <v>0,8989</v>
      </c>
      <c r="E38" s="37" t="s">
        <v>399</v>
      </c>
      <c r="F38" s="37" t="s">
        <v>389</v>
      </c>
      <c r="G38" s="37" t="s">
        <v>48</v>
      </c>
      <c r="H38" s="37" t="s">
        <v>99</v>
      </c>
      <c r="I38" s="37" t="s">
        <v>62</v>
      </c>
      <c r="J38" s="38"/>
      <c r="K38" s="37">
        <v>130</v>
      </c>
      <c r="L38" s="37" t="str">
        <f>"116,8505"</f>
        <v>116,8505</v>
      </c>
      <c r="M38" s="37" t="s">
        <v>1072</v>
      </c>
    </row>
    <row r="40" spans="1:12" ht="15">
      <c r="A40" s="62" t="s">
        <v>93</v>
      </c>
      <c r="B40" s="62"/>
      <c r="C40" s="62"/>
      <c r="D40" s="62"/>
      <c r="E40" s="62"/>
      <c r="F40" s="62"/>
      <c r="G40" s="62"/>
      <c r="H40" s="62"/>
      <c r="I40" s="62"/>
      <c r="J40" s="62"/>
      <c r="K40" s="62"/>
      <c r="L40" s="62"/>
    </row>
    <row r="41" spans="1:13" ht="12.75">
      <c r="A41" s="33" t="s">
        <v>1392</v>
      </c>
      <c r="B41" s="33" t="s">
        <v>1393</v>
      </c>
      <c r="C41" s="33" t="s">
        <v>1394</v>
      </c>
      <c r="D41" s="33" t="str">
        <f>"0,7607"</f>
        <v>0,7607</v>
      </c>
      <c r="E41" s="33" t="s">
        <v>26</v>
      </c>
      <c r="F41" s="33" t="s">
        <v>27</v>
      </c>
      <c r="G41" s="33" t="s">
        <v>70</v>
      </c>
      <c r="H41" s="33" t="s">
        <v>414</v>
      </c>
      <c r="I41" s="34" t="s">
        <v>28</v>
      </c>
      <c r="J41" s="34"/>
      <c r="K41" s="33">
        <v>97.5</v>
      </c>
      <c r="L41" s="33" t="str">
        <f>"74,1731"</f>
        <v>74,1731</v>
      </c>
      <c r="M41" s="33" t="s">
        <v>49</v>
      </c>
    </row>
    <row r="42" spans="1:13" ht="12.75">
      <c r="A42" s="35" t="s">
        <v>1395</v>
      </c>
      <c r="B42" s="35" t="s">
        <v>1396</v>
      </c>
      <c r="C42" s="35" t="s">
        <v>1397</v>
      </c>
      <c r="D42" s="35" t="str">
        <f>"0,7362"</f>
        <v>0,7362</v>
      </c>
      <c r="E42" s="35" t="s">
        <v>97</v>
      </c>
      <c r="F42" s="35" t="s">
        <v>98</v>
      </c>
      <c r="G42" s="36" t="s">
        <v>20</v>
      </c>
      <c r="H42" s="35" t="s">
        <v>20</v>
      </c>
      <c r="I42" s="36" t="s">
        <v>428</v>
      </c>
      <c r="J42" s="36"/>
      <c r="K42" s="35">
        <v>85</v>
      </c>
      <c r="L42" s="35" t="str">
        <f>"62,5770"</f>
        <v>62,5770</v>
      </c>
      <c r="M42" s="35" t="s">
        <v>1366</v>
      </c>
    </row>
    <row r="43" spans="1:13" ht="12.75">
      <c r="A43" s="35" t="s">
        <v>1398</v>
      </c>
      <c r="B43" s="35" t="s">
        <v>1399</v>
      </c>
      <c r="C43" s="35" t="s">
        <v>1400</v>
      </c>
      <c r="D43" s="35" t="str">
        <f>"0,7393"</f>
        <v>0,7393</v>
      </c>
      <c r="E43" s="35" t="s">
        <v>26</v>
      </c>
      <c r="F43" s="35" t="s">
        <v>27</v>
      </c>
      <c r="G43" s="36" t="s">
        <v>139</v>
      </c>
      <c r="H43" s="35" t="s">
        <v>1401</v>
      </c>
      <c r="I43" s="36" t="s">
        <v>150</v>
      </c>
      <c r="J43" s="36"/>
      <c r="K43" s="35">
        <v>173.5</v>
      </c>
      <c r="L43" s="35" t="str">
        <f>"128,2599"</f>
        <v>128,2599</v>
      </c>
      <c r="M43" s="35" t="s">
        <v>173</v>
      </c>
    </row>
    <row r="44" spans="1:13" ht="12.75">
      <c r="A44" s="35" t="s">
        <v>1402</v>
      </c>
      <c r="B44" s="35" t="s">
        <v>1403</v>
      </c>
      <c r="C44" s="35" t="s">
        <v>1404</v>
      </c>
      <c r="D44" s="35" t="str">
        <f>"0,7460"</f>
        <v>0,7460</v>
      </c>
      <c r="E44" s="35" t="s">
        <v>26</v>
      </c>
      <c r="F44" s="35" t="s">
        <v>27</v>
      </c>
      <c r="G44" s="35" t="s">
        <v>29</v>
      </c>
      <c r="H44" s="35" t="s">
        <v>30</v>
      </c>
      <c r="I44" s="35" t="s">
        <v>79</v>
      </c>
      <c r="J44" s="36"/>
      <c r="K44" s="35">
        <v>112.5</v>
      </c>
      <c r="L44" s="35" t="str">
        <f>"83,9250"</f>
        <v>83,9250</v>
      </c>
      <c r="M44" s="35" t="s">
        <v>49</v>
      </c>
    </row>
    <row r="45" spans="1:13" ht="12.75">
      <c r="A45" s="37" t="s">
        <v>820</v>
      </c>
      <c r="B45" s="37" t="s">
        <v>821</v>
      </c>
      <c r="C45" s="37" t="s">
        <v>822</v>
      </c>
      <c r="D45" s="37" t="str">
        <f>"0,7540"</f>
        <v>0,7540</v>
      </c>
      <c r="E45" s="37" t="s">
        <v>26</v>
      </c>
      <c r="F45" s="37" t="s">
        <v>27</v>
      </c>
      <c r="G45" s="37" t="s">
        <v>69</v>
      </c>
      <c r="H45" s="37" t="s">
        <v>20</v>
      </c>
      <c r="I45" s="38" t="s">
        <v>453</v>
      </c>
      <c r="J45" s="38"/>
      <c r="K45" s="37">
        <v>85</v>
      </c>
      <c r="L45" s="37" t="str">
        <f>"133,6277"</f>
        <v>133,6277</v>
      </c>
      <c r="M45" s="37" t="s">
        <v>173</v>
      </c>
    </row>
    <row r="47" spans="1:12" ht="15">
      <c r="A47" s="62" t="s">
        <v>108</v>
      </c>
      <c r="B47" s="62"/>
      <c r="C47" s="62"/>
      <c r="D47" s="62"/>
      <c r="E47" s="62"/>
      <c r="F47" s="62"/>
      <c r="G47" s="62"/>
      <c r="H47" s="62"/>
      <c r="I47" s="62"/>
      <c r="J47" s="62"/>
      <c r="K47" s="62"/>
      <c r="L47" s="62"/>
    </row>
    <row r="48" spans="1:13" ht="12.75">
      <c r="A48" s="33" t="s">
        <v>1405</v>
      </c>
      <c r="B48" s="33" t="s">
        <v>1406</v>
      </c>
      <c r="C48" s="33" t="s">
        <v>1407</v>
      </c>
      <c r="D48" s="33" t="str">
        <f>"0,6778"</f>
        <v>0,6778</v>
      </c>
      <c r="E48" s="33" t="s">
        <v>26</v>
      </c>
      <c r="F48" s="33" t="s">
        <v>27</v>
      </c>
      <c r="G48" s="33" t="s">
        <v>70</v>
      </c>
      <c r="H48" s="33" t="s">
        <v>30</v>
      </c>
      <c r="I48" s="33" t="s">
        <v>39</v>
      </c>
      <c r="J48" s="34"/>
      <c r="K48" s="33">
        <v>120</v>
      </c>
      <c r="L48" s="33" t="str">
        <f>"91,9097"</f>
        <v>91,9097</v>
      </c>
      <c r="M48" s="33" t="s">
        <v>49</v>
      </c>
    </row>
    <row r="49" spans="1:13" ht="12.75">
      <c r="A49" s="35" t="s">
        <v>1408</v>
      </c>
      <c r="B49" s="35" t="s">
        <v>1409</v>
      </c>
      <c r="C49" s="35" t="s">
        <v>1410</v>
      </c>
      <c r="D49" s="35" t="str">
        <f>"0,6730"</f>
        <v>0,6730</v>
      </c>
      <c r="E49" s="35" t="s">
        <v>859</v>
      </c>
      <c r="F49" s="35" t="s">
        <v>1411</v>
      </c>
      <c r="G49" s="35" t="s">
        <v>28</v>
      </c>
      <c r="H49" s="36" t="s">
        <v>29</v>
      </c>
      <c r="I49" s="36" t="s">
        <v>79</v>
      </c>
      <c r="J49" s="36"/>
      <c r="K49" s="35">
        <v>100</v>
      </c>
      <c r="L49" s="35" t="str">
        <f>"76,0490"</f>
        <v>76,0490</v>
      </c>
      <c r="M49" s="35" t="s">
        <v>1412</v>
      </c>
    </row>
    <row r="50" spans="1:13" ht="12.75">
      <c r="A50" s="35" t="s">
        <v>1413</v>
      </c>
      <c r="B50" s="35" t="s">
        <v>1414</v>
      </c>
      <c r="C50" s="35" t="s">
        <v>829</v>
      </c>
      <c r="D50" s="35" t="str">
        <f>"0,6878"</f>
        <v>0,6878</v>
      </c>
      <c r="E50" s="35" t="s">
        <v>843</v>
      </c>
      <c r="F50" s="35" t="s">
        <v>844</v>
      </c>
      <c r="G50" s="35" t="s">
        <v>417</v>
      </c>
      <c r="H50" s="35" t="s">
        <v>20</v>
      </c>
      <c r="I50" s="36" t="s">
        <v>70</v>
      </c>
      <c r="J50" s="36"/>
      <c r="K50" s="35">
        <v>85</v>
      </c>
      <c r="L50" s="35" t="str">
        <f>"63,1400"</f>
        <v>63,1400</v>
      </c>
      <c r="M50" s="35" t="s">
        <v>846</v>
      </c>
    </row>
    <row r="51" spans="1:13" ht="12.75">
      <c r="A51" s="35" t="s">
        <v>1415</v>
      </c>
      <c r="B51" s="35" t="s">
        <v>455</v>
      </c>
      <c r="C51" s="35" t="s">
        <v>1416</v>
      </c>
      <c r="D51" s="35" t="str">
        <f>"0,7119"</f>
        <v>0,7119</v>
      </c>
      <c r="E51" s="35" t="s">
        <v>26</v>
      </c>
      <c r="F51" s="35" t="s">
        <v>27</v>
      </c>
      <c r="G51" s="35" t="s">
        <v>62</v>
      </c>
      <c r="H51" s="35" t="s">
        <v>1417</v>
      </c>
      <c r="I51" s="35" t="s">
        <v>63</v>
      </c>
      <c r="J51" s="36"/>
      <c r="K51" s="35">
        <v>140</v>
      </c>
      <c r="L51" s="35" t="str">
        <f>"101,6593"</f>
        <v>101,6593</v>
      </c>
      <c r="M51" s="35" t="s">
        <v>698</v>
      </c>
    </row>
    <row r="52" spans="1:13" ht="12.75">
      <c r="A52" s="35" t="s">
        <v>1418</v>
      </c>
      <c r="B52" s="35" t="s">
        <v>1419</v>
      </c>
      <c r="C52" s="35" t="s">
        <v>1115</v>
      </c>
      <c r="D52" s="35" t="str">
        <f>"0,6733"</f>
        <v>0,6733</v>
      </c>
      <c r="E52" s="35" t="s">
        <v>26</v>
      </c>
      <c r="F52" s="35" t="s">
        <v>27</v>
      </c>
      <c r="G52" s="36" t="s">
        <v>1417</v>
      </c>
      <c r="H52" s="36" t="s">
        <v>1417</v>
      </c>
      <c r="I52" s="36" t="s">
        <v>1417</v>
      </c>
      <c r="J52" s="36"/>
      <c r="K52" s="35">
        <v>0</v>
      </c>
      <c r="L52" s="35" t="str">
        <f>"0,0000"</f>
        <v>0,0000</v>
      </c>
      <c r="M52" s="35" t="s">
        <v>1420</v>
      </c>
    </row>
    <row r="53" spans="1:13" ht="12.75">
      <c r="A53" s="35" t="s">
        <v>1421</v>
      </c>
      <c r="B53" s="35" t="s">
        <v>1422</v>
      </c>
      <c r="C53" s="35" t="s">
        <v>1423</v>
      </c>
      <c r="D53" s="35" t="str">
        <f>"0,6726"</f>
        <v>0,6726</v>
      </c>
      <c r="E53" s="35" t="s">
        <v>61</v>
      </c>
      <c r="F53" s="35" t="s">
        <v>46</v>
      </c>
      <c r="G53" s="35" t="s">
        <v>55</v>
      </c>
      <c r="H53" s="35" t="s">
        <v>438</v>
      </c>
      <c r="I53" s="36" t="s">
        <v>239</v>
      </c>
      <c r="J53" s="36"/>
      <c r="K53" s="35">
        <v>150</v>
      </c>
      <c r="L53" s="35" t="str">
        <f>"100,8975"</f>
        <v>100,8975</v>
      </c>
      <c r="M53" s="35" t="s">
        <v>49</v>
      </c>
    </row>
    <row r="54" spans="1:13" ht="12.75">
      <c r="A54" s="35" t="s">
        <v>1424</v>
      </c>
      <c r="B54" s="35" t="s">
        <v>1425</v>
      </c>
      <c r="C54" s="35" t="s">
        <v>1426</v>
      </c>
      <c r="D54" s="35" t="str">
        <f>"0,6745"</f>
        <v>0,6745</v>
      </c>
      <c r="E54" s="35" t="s">
        <v>272</v>
      </c>
      <c r="F54" s="35" t="s">
        <v>273</v>
      </c>
      <c r="G54" s="35" t="s">
        <v>39</v>
      </c>
      <c r="H54" s="35" t="s">
        <v>1417</v>
      </c>
      <c r="I54" s="36" t="s">
        <v>872</v>
      </c>
      <c r="J54" s="36"/>
      <c r="K54" s="35">
        <v>137.5</v>
      </c>
      <c r="L54" s="35" t="str">
        <f>"92,7437"</f>
        <v>92,7437</v>
      </c>
      <c r="M54" s="35" t="s">
        <v>173</v>
      </c>
    </row>
    <row r="55" spans="1:13" ht="12.75">
      <c r="A55" s="35" t="s">
        <v>1427</v>
      </c>
      <c r="B55" s="35" t="s">
        <v>1428</v>
      </c>
      <c r="C55" s="35" t="s">
        <v>1429</v>
      </c>
      <c r="D55" s="35" t="str">
        <f>"0,6690"</f>
        <v>0,6690</v>
      </c>
      <c r="E55" s="35" t="s">
        <v>26</v>
      </c>
      <c r="F55" s="35" t="s">
        <v>27</v>
      </c>
      <c r="G55" s="36" t="s">
        <v>1417</v>
      </c>
      <c r="H55" s="35" t="s">
        <v>1417</v>
      </c>
      <c r="I55" s="36" t="s">
        <v>63</v>
      </c>
      <c r="J55" s="36"/>
      <c r="K55" s="35">
        <v>137.5</v>
      </c>
      <c r="L55" s="35" t="str">
        <f>"91,9944"</f>
        <v>91,9944</v>
      </c>
      <c r="M55" s="35" t="s">
        <v>49</v>
      </c>
    </row>
    <row r="56" spans="1:13" ht="12.75">
      <c r="A56" s="35" t="s">
        <v>1430</v>
      </c>
      <c r="B56" s="35" t="s">
        <v>1431</v>
      </c>
      <c r="C56" s="35" t="s">
        <v>1432</v>
      </c>
      <c r="D56" s="35" t="str">
        <f>"0,6812"</f>
        <v>0,6812</v>
      </c>
      <c r="E56" s="35" t="s">
        <v>26</v>
      </c>
      <c r="F56" s="35" t="s">
        <v>27</v>
      </c>
      <c r="G56" s="35" t="s">
        <v>54</v>
      </c>
      <c r="H56" s="36" t="s">
        <v>1417</v>
      </c>
      <c r="I56" s="36" t="s">
        <v>1417</v>
      </c>
      <c r="J56" s="36"/>
      <c r="K56" s="35">
        <v>135</v>
      </c>
      <c r="L56" s="35" t="str">
        <f>"91,9620"</f>
        <v>91,9620</v>
      </c>
      <c r="M56" s="35" t="s">
        <v>142</v>
      </c>
    </row>
    <row r="57" spans="1:13" ht="12.75">
      <c r="A57" s="35" t="s">
        <v>1433</v>
      </c>
      <c r="B57" s="35" t="s">
        <v>1434</v>
      </c>
      <c r="C57" s="35" t="s">
        <v>1435</v>
      </c>
      <c r="D57" s="35" t="str">
        <f>"0,6666"</f>
        <v>0,6666</v>
      </c>
      <c r="E57" s="35" t="s">
        <v>26</v>
      </c>
      <c r="F57" s="35" t="s">
        <v>27</v>
      </c>
      <c r="G57" s="35" t="s">
        <v>48</v>
      </c>
      <c r="H57" s="36" t="s">
        <v>39</v>
      </c>
      <c r="I57" s="35" t="s">
        <v>39</v>
      </c>
      <c r="J57" s="36"/>
      <c r="K57" s="35">
        <v>120</v>
      </c>
      <c r="L57" s="35" t="str">
        <f>"79,9920"</f>
        <v>79,9920</v>
      </c>
      <c r="M57" s="35" t="s">
        <v>49</v>
      </c>
    </row>
    <row r="58" spans="1:13" ht="12.75">
      <c r="A58" s="35" t="s">
        <v>1436</v>
      </c>
      <c r="B58" s="35" t="s">
        <v>1437</v>
      </c>
      <c r="C58" s="35" t="s">
        <v>586</v>
      </c>
      <c r="D58" s="35" t="str">
        <f>"0,6694"</f>
        <v>0,6694</v>
      </c>
      <c r="E58" s="35" t="s">
        <v>45</v>
      </c>
      <c r="F58" s="35" t="s">
        <v>46</v>
      </c>
      <c r="G58" s="35" t="s">
        <v>48</v>
      </c>
      <c r="H58" s="35" t="s">
        <v>80</v>
      </c>
      <c r="I58" s="36" t="s">
        <v>552</v>
      </c>
      <c r="J58" s="36"/>
      <c r="K58" s="35">
        <v>122.5</v>
      </c>
      <c r="L58" s="35" t="str">
        <f>"99,1398"</f>
        <v>99,1398</v>
      </c>
      <c r="M58" s="35" t="s">
        <v>1357</v>
      </c>
    </row>
    <row r="59" spans="1:13" ht="12.75">
      <c r="A59" s="35" t="s">
        <v>1438</v>
      </c>
      <c r="B59" s="35" t="s">
        <v>1439</v>
      </c>
      <c r="C59" s="35" t="s">
        <v>1440</v>
      </c>
      <c r="D59" s="35" t="str">
        <f>"0,6843"</f>
        <v>0,6843</v>
      </c>
      <c r="E59" s="35" t="s">
        <v>26</v>
      </c>
      <c r="F59" s="35" t="s">
        <v>27</v>
      </c>
      <c r="G59" s="35" t="s">
        <v>30</v>
      </c>
      <c r="H59" s="35" t="s">
        <v>48</v>
      </c>
      <c r="I59" s="35" t="s">
        <v>471</v>
      </c>
      <c r="J59" s="36"/>
      <c r="K59" s="35">
        <v>117.5</v>
      </c>
      <c r="L59" s="35" t="str">
        <f>"97,2099"</f>
        <v>97,2099</v>
      </c>
      <c r="M59" s="35" t="s">
        <v>1412</v>
      </c>
    </row>
    <row r="60" spans="1:13" ht="12.75">
      <c r="A60" s="35" t="s">
        <v>1441</v>
      </c>
      <c r="B60" s="35" t="s">
        <v>1442</v>
      </c>
      <c r="C60" s="35" t="s">
        <v>1443</v>
      </c>
      <c r="D60" s="35" t="str">
        <f>"0,6680"</f>
        <v>0,6680</v>
      </c>
      <c r="E60" s="35" t="s">
        <v>1444</v>
      </c>
      <c r="F60" s="35" t="s">
        <v>27</v>
      </c>
      <c r="G60" s="35" t="s">
        <v>471</v>
      </c>
      <c r="H60" s="35" t="s">
        <v>80</v>
      </c>
      <c r="I60" s="35" t="s">
        <v>552</v>
      </c>
      <c r="J60" s="36"/>
      <c r="K60" s="35">
        <v>127.5</v>
      </c>
      <c r="L60" s="35" t="str">
        <f>"171,1917"</f>
        <v>171,1917</v>
      </c>
      <c r="M60" s="35" t="s">
        <v>49</v>
      </c>
    </row>
    <row r="61" spans="1:13" ht="12.75">
      <c r="A61" s="37" t="s">
        <v>1445</v>
      </c>
      <c r="B61" s="37" t="s">
        <v>1446</v>
      </c>
      <c r="C61" s="37" t="s">
        <v>1447</v>
      </c>
      <c r="D61" s="37" t="str">
        <f>"0,6824"</f>
        <v>0,6824</v>
      </c>
      <c r="E61" s="37" t="s">
        <v>399</v>
      </c>
      <c r="F61" s="37" t="s">
        <v>389</v>
      </c>
      <c r="G61" s="37" t="s">
        <v>395</v>
      </c>
      <c r="H61" s="37" t="s">
        <v>69</v>
      </c>
      <c r="I61" s="37" t="s">
        <v>20</v>
      </c>
      <c r="J61" s="38"/>
      <c r="K61" s="37">
        <v>85</v>
      </c>
      <c r="L61" s="37" t="str">
        <f>"120,0683"</f>
        <v>120,0683</v>
      </c>
      <c r="M61" s="37" t="s">
        <v>1072</v>
      </c>
    </row>
    <row r="63" spans="1:12" ht="15">
      <c r="A63" s="62" t="s">
        <v>152</v>
      </c>
      <c r="B63" s="62"/>
      <c r="C63" s="62"/>
      <c r="D63" s="62"/>
      <c r="E63" s="62"/>
      <c r="F63" s="62"/>
      <c r="G63" s="62"/>
      <c r="H63" s="62"/>
      <c r="I63" s="62"/>
      <c r="J63" s="62"/>
      <c r="K63" s="62"/>
      <c r="L63" s="62"/>
    </row>
    <row r="64" spans="1:13" ht="12.75">
      <c r="A64" s="33" t="s">
        <v>1448</v>
      </c>
      <c r="B64" s="33" t="s">
        <v>1449</v>
      </c>
      <c r="C64" s="33" t="s">
        <v>1122</v>
      </c>
      <c r="D64" s="33" t="str">
        <f>"0,6230"</f>
        <v>0,6230</v>
      </c>
      <c r="E64" s="33" t="s">
        <v>26</v>
      </c>
      <c r="F64" s="33" t="s">
        <v>27</v>
      </c>
      <c r="G64" s="33" t="s">
        <v>467</v>
      </c>
      <c r="H64" s="33" t="s">
        <v>872</v>
      </c>
      <c r="I64" s="34" t="s">
        <v>438</v>
      </c>
      <c r="J64" s="34"/>
      <c r="K64" s="33">
        <v>142.5</v>
      </c>
      <c r="L64" s="33" t="str">
        <f>"92,3286"</f>
        <v>92,3286</v>
      </c>
      <c r="M64" s="33" t="s">
        <v>49</v>
      </c>
    </row>
    <row r="65" spans="1:13" ht="12.75">
      <c r="A65" s="35" t="s">
        <v>1450</v>
      </c>
      <c r="B65" s="35" t="s">
        <v>1451</v>
      </c>
      <c r="C65" s="35" t="s">
        <v>1452</v>
      </c>
      <c r="D65" s="35" t="str">
        <f>"0,6219"</f>
        <v>0,6219</v>
      </c>
      <c r="E65" s="35" t="s">
        <v>26</v>
      </c>
      <c r="F65" s="35" t="s">
        <v>27</v>
      </c>
      <c r="G65" s="35" t="s">
        <v>62</v>
      </c>
      <c r="H65" s="35" t="s">
        <v>54</v>
      </c>
      <c r="I65" s="35" t="s">
        <v>872</v>
      </c>
      <c r="J65" s="36"/>
      <c r="K65" s="35">
        <v>142.5</v>
      </c>
      <c r="L65" s="35" t="str">
        <f>"92,1656"</f>
        <v>92,1656</v>
      </c>
      <c r="M65" s="35" t="s">
        <v>49</v>
      </c>
    </row>
    <row r="66" spans="1:13" ht="12.75">
      <c r="A66" s="35" t="s">
        <v>1453</v>
      </c>
      <c r="B66" s="35" t="s">
        <v>1454</v>
      </c>
      <c r="C66" s="35" t="s">
        <v>1455</v>
      </c>
      <c r="D66" s="35" t="str">
        <f>"0,6307"</f>
        <v>0,6307</v>
      </c>
      <c r="E66" s="35" t="s">
        <v>1456</v>
      </c>
      <c r="F66" s="35" t="s">
        <v>1457</v>
      </c>
      <c r="G66" s="35" t="s">
        <v>62</v>
      </c>
      <c r="H66" s="36" t="s">
        <v>63</v>
      </c>
      <c r="I66" s="35" t="s">
        <v>63</v>
      </c>
      <c r="J66" s="36"/>
      <c r="K66" s="35">
        <v>140</v>
      </c>
      <c r="L66" s="35" t="str">
        <f>"91,8299"</f>
        <v>91,8299</v>
      </c>
      <c r="M66" s="35" t="s">
        <v>1458</v>
      </c>
    </row>
    <row r="67" spans="1:13" ht="12.75">
      <c r="A67" s="35" t="s">
        <v>1459</v>
      </c>
      <c r="B67" s="35" t="s">
        <v>1460</v>
      </c>
      <c r="C67" s="35" t="s">
        <v>1461</v>
      </c>
      <c r="D67" s="35" t="str">
        <f>"0,6235"</f>
        <v>0,6235</v>
      </c>
      <c r="E67" s="35" t="s">
        <v>26</v>
      </c>
      <c r="F67" s="35" t="s">
        <v>27</v>
      </c>
      <c r="G67" s="35" t="s">
        <v>48</v>
      </c>
      <c r="H67" s="35" t="s">
        <v>80</v>
      </c>
      <c r="I67" s="35" t="s">
        <v>62</v>
      </c>
      <c r="J67" s="36"/>
      <c r="K67" s="35">
        <v>130</v>
      </c>
      <c r="L67" s="35" t="str">
        <f>"83,4866"</f>
        <v>83,4866</v>
      </c>
      <c r="M67" s="35" t="s">
        <v>49</v>
      </c>
    </row>
    <row r="68" spans="1:13" ht="12.75">
      <c r="A68" s="35" t="s">
        <v>1462</v>
      </c>
      <c r="B68" s="35" t="s">
        <v>1463</v>
      </c>
      <c r="C68" s="35" t="s">
        <v>1464</v>
      </c>
      <c r="D68" s="35" t="str">
        <f>"0,6233"</f>
        <v>0,6233</v>
      </c>
      <c r="E68" s="35" t="s">
        <v>26</v>
      </c>
      <c r="F68" s="35" t="s">
        <v>27</v>
      </c>
      <c r="G68" s="35" t="s">
        <v>139</v>
      </c>
      <c r="H68" s="36" t="s">
        <v>150</v>
      </c>
      <c r="I68" s="36" t="s">
        <v>150</v>
      </c>
      <c r="J68" s="36"/>
      <c r="K68" s="35">
        <v>170</v>
      </c>
      <c r="L68" s="35" t="str">
        <f>"105,9525"</f>
        <v>105,9525</v>
      </c>
      <c r="M68" s="35" t="s">
        <v>49</v>
      </c>
    </row>
    <row r="69" spans="1:13" ht="12.75">
      <c r="A69" s="35" t="s">
        <v>1465</v>
      </c>
      <c r="B69" s="35" t="s">
        <v>1466</v>
      </c>
      <c r="C69" s="35" t="s">
        <v>1467</v>
      </c>
      <c r="D69" s="35" t="str">
        <f>"0,6262"</f>
        <v>0,6262</v>
      </c>
      <c r="E69" s="35" t="s">
        <v>843</v>
      </c>
      <c r="F69" s="35" t="s">
        <v>844</v>
      </c>
      <c r="G69" s="35" t="s">
        <v>63</v>
      </c>
      <c r="H69" s="35" t="s">
        <v>465</v>
      </c>
      <c r="I69" s="35" t="s">
        <v>682</v>
      </c>
      <c r="J69" s="36"/>
      <c r="K69" s="35">
        <v>152.5</v>
      </c>
      <c r="L69" s="35" t="str">
        <f>"95,4955"</f>
        <v>95,4955</v>
      </c>
      <c r="M69" s="35" t="s">
        <v>846</v>
      </c>
    </row>
    <row r="70" spans="1:13" ht="12.75">
      <c r="A70" s="35" t="s">
        <v>1468</v>
      </c>
      <c r="B70" s="35" t="s">
        <v>1469</v>
      </c>
      <c r="C70" s="35" t="s">
        <v>1470</v>
      </c>
      <c r="D70" s="35" t="str">
        <f>"0,6198"</f>
        <v>0,6198</v>
      </c>
      <c r="E70" s="35" t="s">
        <v>1471</v>
      </c>
      <c r="F70" s="35" t="s">
        <v>1472</v>
      </c>
      <c r="G70" s="35" t="s">
        <v>55</v>
      </c>
      <c r="H70" s="35" t="s">
        <v>465</v>
      </c>
      <c r="I70" s="35" t="s">
        <v>682</v>
      </c>
      <c r="J70" s="36"/>
      <c r="K70" s="35">
        <v>152.5</v>
      </c>
      <c r="L70" s="35" t="str">
        <f>"94,5195"</f>
        <v>94,5195</v>
      </c>
      <c r="M70" s="35" t="s">
        <v>173</v>
      </c>
    </row>
    <row r="71" spans="1:13" ht="12.75">
      <c r="A71" s="35" t="s">
        <v>1473</v>
      </c>
      <c r="B71" s="35" t="s">
        <v>1474</v>
      </c>
      <c r="C71" s="35" t="s">
        <v>1475</v>
      </c>
      <c r="D71" s="35" t="str">
        <f>"0,6349"</f>
        <v>0,6349</v>
      </c>
      <c r="E71" s="35" t="s">
        <v>26</v>
      </c>
      <c r="F71" s="35" t="s">
        <v>27</v>
      </c>
      <c r="G71" s="35" t="s">
        <v>872</v>
      </c>
      <c r="H71" s="35" t="s">
        <v>465</v>
      </c>
      <c r="I71" s="35" t="s">
        <v>438</v>
      </c>
      <c r="J71" s="36"/>
      <c r="K71" s="35">
        <v>150</v>
      </c>
      <c r="L71" s="35" t="str">
        <f>"95,2425"</f>
        <v>95,2425</v>
      </c>
      <c r="M71" s="35" t="s">
        <v>49</v>
      </c>
    </row>
    <row r="72" spans="1:13" ht="12.75">
      <c r="A72" s="35" t="s">
        <v>1476</v>
      </c>
      <c r="B72" s="35" t="s">
        <v>1477</v>
      </c>
      <c r="C72" s="35" t="s">
        <v>1478</v>
      </c>
      <c r="D72" s="35" t="str">
        <f>"0,6276"</f>
        <v>0,6276</v>
      </c>
      <c r="E72" s="35" t="s">
        <v>26</v>
      </c>
      <c r="F72" s="35" t="s">
        <v>27</v>
      </c>
      <c r="G72" s="35" t="s">
        <v>872</v>
      </c>
      <c r="H72" s="35" t="s">
        <v>465</v>
      </c>
      <c r="I72" s="36" t="s">
        <v>438</v>
      </c>
      <c r="J72" s="36"/>
      <c r="K72" s="35">
        <v>147.5</v>
      </c>
      <c r="L72" s="35" t="str">
        <f>"92,5710"</f>
        <v>92,5710</v>
      </c>
      <c r="M72" s="35" t="s">
        <v>1479</v>
      </c>
    </row>
    <row r="73" spans="1:13" ht="12.75">
      <c r="A73" s="35" t="s">
        <v>1480</v>
      </c>
      <c r="B73" s="35" t="s">
        <v>128</v>
      </c>
      <c r="C73" s="35" t="s">
        <v>1481</v>
      </c>
      <c r="D73" s="35" t="str">
        <f>"0,6203"</f>
        <v>0,6203</v>
      </c>
      <c r="E73" s="35" t="s">
        <v>859</v>
      </c>
      <c r="F73" s="35" t="s">
        <v>1411</v>
      </c>
      <c r="G73" s="35" t="s">
        <v>63</v>
      </c>
      <c r="H73" s="35" t="s">
        <v>465</v>
      </c>
      <c r="I73" s="36" t="s">
        <v>438</v>
      </c>
      <c r="J73" s="36"/>
      <c r="K73" s="35">
        <v>147.5</v>
      </c>
      <c r="L73" s="35" t="str">
        <f>"91,4942"</f>
        <v>91,4942</v>
      </c>
      <c r="M73" s="35" t="s">
        <v>1412</v>
      </c>
    </row>
    <row r="74" spans="1:13" ht="12.75">
      <c r="A74" s="35" t="s">
        <v>1482</v>
      </c>
      <c r="B74" s="35" t="s">
        <v>1483</v>
      </c>
      <c r="C74" s="35" t="s">
        <v>1484</v>
      </c>
      <c r="D74" s="35" t="str">
        <f>"0,6318"</f>
        <v>0,6318</v>
      </c>
      <c r="E74" s="35" t="s">
        <v>97</v>
      </c>
      <c r="F74" s="35" t="s">
        <v>98</v>
      </c>
      <c r="G74" s="35" t="s">
        <v>54</v>
      </c>
      <c r="H74" s="36" t="s">
        <v>438</v>
      </c>
      <c r="I74" s="36" t="s">
        <v>274</v>
      </c>
      <c r="J74" s="36"/>
      <c r="K74" s="35">
        <v>135</v>
      </c>
      <c r="L74" s="35" t="str">
        <f>"85,2930"</f>
        <v>85,2930</v>
      </c>
      <c r="M74" s="35" t="s">
        <v>49</v>
      </c>
    </row>
    <row r="75" spans="1:13" ht="12.75">
      <c r="A75" s="35" t="s">
        <v>1462</v>
      </c>
      <c r="B75" s="35" t="s">
        <v>1485</v>
      </c>
      <c r="C75" s="35" t="s">
        <v>1464</v>
      </c>
      <c r="D75" s="35" t="str">
        <f>"0,6233"</f>
        <v>0,6233</v>
      </c>
      <c r="E75" s="35" t="s">
        <v>26</v>
      </c>
      <c r="F75" s="35" t="s">
        <v>27</v>
      </c>
      <c r="G75" s="35" t="s">
        <v>139</v>
      </c>
      <c r="H75" s="36" t="s">
        <v>150</v>
      </c>
      <c r="I75" s="36" t="s">
        <v>150</v>
      </c>
      <c r="J75" s="36"/>
      <c r="K75" s="35">
        <v>170</v>
      </c>
      <c r="L75" s="35" t="str">
        <f>"106,9061"</f>
        <v>106,9061</v>
      </c>
      <c r="M75" s="35" t="s">
        <v>49</v>
      </c>
    </row>
    <row r="76" spans="1:13" ht="12.75">
      <c r="A76" s="35" t="s">
        <v>1486</v>
      </c>
      <c r="B76" s="35" t="s">
        <v>1487</v>
      </c>
      <c r="C76" s="35" t="s">
        <v>1319</v>
      </c>
      <c r="D76" s="35" t="str">
        <f>"0,6273"</f>
        <v>0,6273</v>
      </c>
      <c r="E76" s="35" t="s">
        <v>1488</v>
      </c>
      <c r="F76" s="35" t="s">
        <v>46</v>
      </c>
      <c r="G76" s="35" t="s">
        <v>39</v>
      </c>
      <c r="H76" s="35" t="s">
        <v>99</v>
      </c>
      <c r="I76" s="36" t="s">
        <v>552</v>
      </c>
      <c r="J76" s="36"/>
      <c r="K76" s="35">
        <v>125</v>
      </c>
      <c r="L76" s="35" t="str">
        <f>"78,4125"</f>
        <v>78,4125</v>
      </c>
      <c r="M76" s="35" t="s">
        <v>1357</v>
      </c>
    </row>
    <row r="77" spans="1:13" ht="12.75">
      <c r="A77" s="35" t="s">
        <v>1489</v>
      </c>
      <c r="B77" s="35" t="s">
        <v>1490</v>
      </c>
      <c r="C77" s="35" t="s">
        <v>1122</v>
      </c>
      <c r="D77" s="35" t="str">
        <f>"0,6230"</f>
        <v>0,6230</v>
      </c>
      <c r="E77" s="35" t="s">
        <v>61</v>
      </c>
      <c r="F77" s="35" t="s">
        <v>46</v>
      </c>
      <c r="G77" s="35" t="s">
        <v>30</v>
      </c>
      <c r="H77" s="35" t="s">
        <v>471</v>
      </c>
      <c r="I77" s="35" t="s">
        <v>99</v>
      </c>
      <c r="J77" s="36"/>
      <c r="K77" s="35">
        <v>125</v>
      </c>
      <c r="L77" s="35" t="str">
        <f>"79,2768"</f>
        <v>79,2768</v>
      </c>
      <c r="M77" s="35" t="s">
        <v>1357</v>
      </c>
    </row>
    <row r="78" spans="1:13" ht="12.75">
      <c r="A78" s="35" t="s">
        <v>1491</v>
      </c>
      <c r="B78" s="35" t="s">
        <v>1492</v>
      </c>
      <c r="C78" s="35" t="s">
        <v>1493</v>
      </c>
      <c r="D78" s="35" t="str">
        <f>"0,6279"</f>
        <v>0,6279</v>
      </c>
      <c r="E78" s="35" t="s">
        <v>1494</v>
      </c>
      <c r="F78" s="35" t="s">
        <v>1495</v>
      </c>
      <c r="G78" s="35" t="s">
        <v>48</v>
      </c>
      <c r="H78" s="35" t="s">
        <v>99</v>
      </c>
      <c r="I78" s="36" t="s">
        <v>62</v>
      </c>
      <c r="J78" s="36"/>
      <c r="K78" s="35">
        <v>125</v>
      </c>
      <c r="L78" s="35" t="str">
        <f>"87,6705"</f>
        <v>87,6705</v>
      </c>
      <c r="M78" s="35" t="s">
        <v>1496</v>
      </c>
    </row>
    <row r="79" spans="1:13" ht="12.75">
      <c r="A79" s="35" t="s">
        <v>1497</v>
      </c>
      <c r="B79" s="35" t="s">
        <v>1498</v>
      </c>
      <c r="C79" s="35" t="s">
        <v>1499</v>
      </c>
      <c r="D79" s="35" t="str">
        <f>"0,6227"</f>
        <v>0,6227</v>
      </c>
      <c r="E79" s="35" t="s">
        <v>45</v>
      </c>
      <c r="F79" s="35" t="s">
        <v>46</v>
      </c>
      <c r="G79" s="35" t="s">
        <v>48</v>
      </c>
      <c r="H79" s="35" t="s">
        <v>39</v>
      </c>
      <c r="I79" s="36" t="s">
        <v>552</v>
      </c>
      <c r="J79" s="36"/>
      <c r="K79" s="35">
        <v>120</v>
      </c>
      <c r="L79" s="35" t="str">
        <f>"81,5986"</f>
        <v>81,5986</v>
      </c>
      <c r="M79" s="35" t="s">
        <v>1357</v>
      </c>
    </row>
    <row r="80" spans="1:13" ht="12.75">
      <c r="A80" s="35" t="s">
        <v>1500</v>
      </c>
      <c r="B80" s="35" t="s">
        <v>1501</v>
      </c>
      <c r="C80" s="35" t="s">
        <v>1502</v>
      </c>
      <c r="D80" s="35" t="str">
        <f>"0,6332"</f>
        <v>0,6332</v>
      </c>
      <c r="E80" s="35" t="s">
        <v>26</v>
      </c>
      <c r="F80" s="35" t="s">
        <v>27</v>
      </c>
      <c r="G80" s="36" t="s">
        <v>30</v>
      </c>
      <c r="H80" s="35" t="s">
        <v>48</v>
      </c>
      <c r="I80" s="36" t="s">
        <v>99</v>
      </c>
      <c r="J80" s="36"/>
      <c r="K80" s="35">
        <v>115</v>
      </c>
      <c r="L80" s="35" t="str">
        <f>"81,3377"</f>
        <v>81,3377</v>
      </c>
      <c r="M80" s="35" t="s">
        <v>1503</v>
      </c>
    </row>
    <row r="81" spans="1:13" ht="12.75">
      <c r="A81" s="35" t="s">
        <v>1504</v>
      </c>
      <c r="B81" s="35" t="s">
        <v>1505</v>
      </c>
      <c r="C81" s="35" t="s">
        <v>1467</v>
      </c>
      <c r="D81" s="35" t="str">
        <f>"0,6262"</f>
        <v>0,6262</v>
      </c>
      <c r="E81" s="35" t="s">
        <v>1494</v>
      </c>
      <c r="F81" s="35" t="s">
        <v>1495</v>
      </c>
      <c r="G81" s="35" t="s">
        <v>29</v>
      </c>
      <c r="H81" s="35" t="s">
        <v>30</v>
      </c>
      <c r="I81" s="36" t="s">
        <v>48</v>
      </c>
      <c r="J81" s="36"/>
      <c r="K81" s="35">
        <v>110</v>
      </c>
      <c r="L81" s="35" t="str">
        <f>"83,2783"</f>
        <v>83,2783</v>
      </c>
      <c r="M81" s="35" t="s">
        <v>1496</v>
      </c>
    </row>
    <row r="82" spans="1:13" ht="12.75">
      <c r="A82" s="35" t="s">
        <v>1506</v>
      </c>
      <c r="B82" s="35" t="s">
        <v>1507</v>
      </c>
      <c r="C82" s="35" t="s">
        <v>176</v>
      </c>
      <c r="D82" s="35" t="str">
        <f>"0,6248"</f>
        <v>0,6248</v>
      </c>
      <c r="E82" s="35" t="s">
        <v>26</v>
      </c>
      <c r="F82" s="35" t="s">
        <v>27</v>
      </c>
      <c r="G82" s="35" t="s">
        <v>29</v>
      </c>
      <c r="H82" s="35" t="s">
        <v>30</v>
      </c>
      <c r="I82" s="35" t="s">
        <v>48</v>
      </c>
      <c r="J82" s="36"/>
      <c r="K82" s="35">
        <v>115</v>
      </c>
      <c r="L82" s="35" t="str">
        <f>"99,1637"</f>
        <v>99,1637</v>
      </c>
      <c r="M82" s="35" t="s">
        <v>173</v>
      </c>
    </row>
    <row r="83" spans="1:13" ht="12.75">
      <c r="A83" s="35" t="s">
        <v>1508</v>
      </c>
      <c r="B83" s="35" t="s">
        <v>1509</v>
      </c>
      <c r="C83" s="35" t="s">
        <v>1510</v>
      </c>
      <c r="D83" s="35" t="str">
        <f>"0,6370"</f>
        <v>0,6370</v>
      </c>
      <c r="E83" s="35" t="s">
        <v>1511</v>
      </c>
      <c r="F83" s="35" t="s">
        <v>46</v>
      </c>
      <c r="G83" s="35" t="s">
        <v>29</v>
      </c>
      <c r="H83" s="35" t="s">
        <v>79</v>
      </c>
      <c r="I83" s="36" t="s">
        <v>48</v>
      </c>
      <c r="J83" s="36"/>
      <c r="K83" s="35">
        <v>112.5</v>
      </c>
      <c r="L83" s="35" t="str">
        <f>"113,9434"</f>
        <v>113,9434</v>
      </c>
      <c r="M83" s="35" t="s">
        <v>1357</v>
      </c>
    </row>
    <row r="84" spans="1:13" ht="12.75">
      <c r="A84" s="35" t="s">
        <v>1512</v>
      </c>
      <c r="B84" s="35" t="s">
        <v>1513</v>
      </c>
      <c r="C84" s="35" t="s">
        <v>1452</v>
      </c>
      <c r="D84" s="35" t="str">
        <f>"0,6219"</f>
        <v>0,6219</v>
      </c>
      <c r="E84" s="35" t="s">
        <v>26</v>
      </c>
      <c r="F84" s="35" t="s">
        <v>27</v>
      </c>
      <c r="G84" s="35" t="s">
        <v>99</v>
      </c>
      <c r="H84" s="35" t="s">
        <v>552</v>
      </c>
      <c r="I84" s="35" t="s">
        <v>62</v>
      </c>
      <c r="J84" s="36"/>
      <c r="K84" s="35">
        <v>130</v>
      </c>
      <c r="L84" s="35" t="str">
        <f>"166,7065"</f>
        <v>166,7065</v>
      </c>
      <c r="M84" s="35" t="s">
        <v>1503</v>
      </c>
    </row>
    <row r="85" spans="1:13" ht="12.75">
      <c r="A85" s="35" t="s">
        <v>1514</v>
      </c>
      <c r="B85" s="35" t="s">
        <v>1515</v>
      </c>
      <c r="C85" s="35" t="s">
        <v>1516</v>
      </c>
      <c r="D85" s="35" t="str">
        <f>"0,6492"</f>
        <v>0,6492</v>
      </c>
      <c r="E85" s="35" t="s">
        <v>130</v>
      </c>
      <c r="F85" s="35" t="s">
        <v>131</v>
      </c>
      <c r="G85" s="35" t="s">
        <v>29</v>
      </c>
      <c r="H85" s="35" t="s">
        <v>30</v>
      </c>
      <c r="I85" s="36" t="s">
        <v>79</v>
      </c>
      <c r="J85" s="36"/>
      <c r="K85" s="35">
        <v>110</v>
      </c>
      <c r="L85" s="35" t="str">
        <f>"148,6798"</f>
        <v>148,6798</v>
      </c>
      <c r="M85" s="35" t="s">
        <v>134</v>
      </c>
    </row>
    <row r="86" spans="1:13" ht="12.75">
      <c r="A86" s="37" t="s">
        <v>1517</v>
      </c>
      <c r="B86" s="37" t="s">
        <v>1518</v>
      </c>
      <c r="C86" s="37" t="s">
        <v>1519</v>
      </c>
      <c r="D86" s="37" t="str">
        <f>"0,6341"</f>
        <v>0,6341</v>
      </c>
      <c r="E86" s="37" t="s">
        <v>130</v>
      </c>
      <c r="F86" s="37" t="s">
        <v>131</v>
      </c>
      <c r="G86" s="37" t="s">
        <v>414</v>
      </c>
      <c r="H86" s="37" t="s">
        <v>432</v>
      </c>
      <c r="I86" s="38" t="s">
        <v>29</v>
      </c>
      <c r="J86" s="38"/>
      <c r="K86" s="37">
        <v>102.5</v>
      </c>
      <c r="L86" s="37" t="str">
        <f>"135,7101"</f>
        <v>135,7101</v>
      </c>
      <c r="M86" s="37" t="s">
        <v>134</v>
      </c>
    </row>
    <row r="88" spans="1:12" ht="15">
      <c r="A88" s="62" t="s">
        <v>178</v>
      </c>
      <c r="B88" s="62"/>
      <c r="C88" s="62"/>
      <c r="D88" s="62"/>
      <c r="E88" s="62"/>
      <c r="F88" s="62"/>
      <c r="G88" s="62"/>
      <c r="H88" s="62"/>
      <c r="I88" s="62"/>
      <c r="J88" s="62"/>
      <c r="K88" s="62"/>
      <c r="L88" s="62"/>
    </row>
    <row r="89" spans="1:13" ht="12.75">
      <c r="A89" s="33" t="s">
        <v>1520</v>
      </c>
      <c r="B89" s="33" t="s">
        <v>1521</v>
      </c>
      <c r="C89" s="33" t="s">
        <v>1522</v>
      </c>
      <c r="D89" s="33" t="str">
        <f>"0,5910"</f>
        <v>0,5910</v>
      </c>
      <c r="E89" s="33" t="s">
        <v>1456</v>
      </c>
      <c r="F89" s="33" t="s">
        <v>1457</v>
      </c>
      <c r="G89" s="33" t="s">
        <v>62</v>
      </c>
      <c r="H89" s="33" t="s">
        <v>54</v>
      </c>
      <c r="I89" s="33" t="s">
        <v>63</v>
      </c>
      <c r="J89" s="34"/>
      <c r="K89" s="33">
        <v>140</v>
      </c>
      <c r="L89" s="33" t="str">
        <f>"93,4962"</f>
        <v>93,4962</v>
      </c>
      <c r="M89" s="33" t="s">
        <v>1523</v>
      </c>
    </row>
    <row r="90" spans="1:13" ht="12.75">
      <c r="A90" s="35" t="s">
        <v>1524</v>
      </c>
      <c r="B90" s="35" t="s">
        <v>1525</v>
      </c>
      <c r="C90" s="35" t="s">
        <v>1526</v>
      </c>
      <c r="D90" s="35" t="str">
        <f>"0,5935"</f>
        <v>0,5935</v>
      </c>
      <c r="E90" s="35" t="s">
        <v>1456</v>
      </c>
      <c r="F90" s="35" t="s">
        <v>1457</v>
      </c>
      <c r="G90" s="35" t="s">
        <v>139</v>
      </c>
      <c r="H90" s="35" t="s">
        <v>434</v>
      </c>
      <c r="I90" s="35" t="s">
        <v>146</v>
      </c>
      <c r="J90" s="36"/>
      <c r="K90" s="35">
        <v>185</v>
      </c>
      <c r="L90" s="35" t="str">
        <f>"114,1894"</f>
        <v>114,1894</v>
      </c>
      <c r="M90" s="35" t="s">
        <v>1523</v>
      </c>
    </row>
    <row r="91" spans="1:13" ht="12.75">
      <c r="A91" s="35" t="s">
        <v>1527</v>
      </c>
      <c r="B91" s="35" t="s">
        <v>1528</v>
      </c>
      <c r="C91" s="35" t="s">
        <v>1529</v>
      </c>
      <c r="D91" s="35" t="str">
        <f>"0,5922"</f>
        <v>0,5922</v>
      </c>
      <c r="E91" s="35" t="s">
        <v>1456</v>
      </c>
      <c r="F91" s="35" t="s">
        <v>1457</v>
      </c>
      <c r="G91" s="35" t="s">
        <v>438</v>
      </c>
      <c r="H91" s="35" t="s">
        <v>274</v>
      </c>
      <c r="I91" s="36" t="s">
        <v>433</v>
      </c>
      <c r="J91" s="36"/>
      <c r="K91" s="35">
        <v>155</v>
      </c>
      <c r="L91" s="35" t="str">
        <f>"94,5447"</f>
        <v>94,5447</v>
      </c>
      <c r="M91" s="35" t="s">
        <v>1523</v>
      </c>
    </row>
    <row r="92" spans="1:13" ht="12.75">
      <c r="A92" s="35" t="s">
        <v>1530</v>
      </c>
      <c r="B92" s="35" t="s">
        <v>1531</v>
      </c>
      <c r="C92" s="35" t="s">
        <v>1532</v>
      </c>
      <c r="D92" s="35" t="str">
        <f>"0,5965"</f>
        <v>0,5965</v>
      </c>
      <c r="E92" s="35" t="s">
        <v>791</v>
      </c>
      <c r="F92" s="35" t="s">
        <v>792</v>
      </c>
      <c r="G92" s="35" t="s">
        <v>62</v>
      </c>
      <c r="H92" s="35" t="s">
        <v>54</v>
      </c>
      <c r="I92" s="35" t="s">
        <v>63</v>
      </c>
      <c r="J92" s="36"/>
      <c r="K92" s="35">
        <v>140</v>
      </c>
      <c r="L92" s="35" t="str">
        <f>"85,1802"</f>
        <v>85,1802</v>
      </c>
      <c r="M92" s="35" t="s">
        <v>1533</v>
      </c>
    </row>
    <row r="93" spans="1:13" ht="12.75">
      <c r="A93" s="35" t="s">
        <v>1534</v>
      </c>
      <c r="B93" s="35" t="s">
        <v>1535</v>
      </c>
      <c r="C93" s="35" t="s">
        <v>191</v>
      </c>
      <c r="D93" s="35" t="str">
        <f>"0,5997"</f>
        <v>0,5997</v>
      </c>
      <c r="E93" s="35" t="s">
        <v>26</v>
      </c>
      <c r="F93" s="35" t="s">
        <v>27</v>
      </c>
      <c r="G93" s="35" t="s">
        <v>28</v>
      </c>
      <c r="H93" s="36" t="s">
        <v>29</v>
      </c>
      <c r="I93" s="36" t="s">
        <v>29</v>
      </c>
      <c r="J93" s="36"/>
      <c r="K93" s="35">
        <v>100</v>
      </c>
      <c r="L93" s="35" t="str">
        <f>"60,5747"</f>
        <v>60,5747</v>
      </c>
      <c r="M93" s="35" t="s">
        <v>1536</v>
      </c>
    </row>
    <row r="94" spans="1:13" ht="12.75">
      <c r="A94" s="35" t="s">
        <v>1537</v>
      </c>
      <c r="B94" s="35" t="s">
        <v>1538</v>
      </c>
      <c r="C94" s="35" t="s">
        <v>1539</v>
      </c>
      <c r="D94" s="35" t="str">
        <f>"0,5897"</f>
        <v>0,5897</v>
      </c>
      <c r="E94" s="35" t="s">
        <v>18</v>
      </c>
      <c r="F94" s="35" t="s">
        <v>19</v>
      </c>
      <c r="G94" s="35" t="s">
        <v>146</v>
      </c>
      <c r="H94" s="35" t="s">
        <v>124</v>
      </c>
      <c r="I94" s="35" t="s">
        <v>252</v>
      </c>
      <c r="J94" s="36"/>
      <c r="K94" s="35">
        <v>195</v>
      </c>
      <c r="L94" s="35" t="str">
        <f>"114,9915"</f>
        <v>114,9915</v>
      </c>
      <c r="M94" s="35" t="s">
        <v>49</v>
      </c>
    </row>
    <row r="95" spans="1:13" ht="12.75">
      <c r="A95" s="35" t="s">
        <v>1540</v>
      </c>
      <c r="B95" s="35" t="s">
        <v>1541</v>
      </c>
      <c r="C95" s="35" t="s">
        <v>1542</v>
      </c>
      <c r="D95" s="35" t="str">
        <f>"0,5918"</f>
        <v>0,5918</v>
      </c>
      <c r="E95" s="35" t="s">
        <v>61</v>
      </c>
      <c r="F95" s="35" t="s">
        <v>46</v>
      </c>
      <c r="G95" s="35" t="s">
        <v>139</v>
      </c>
      <c r="H95" s="36" t="s">
        <v>434</v>
      </c>
      <c r="I95" s="36" t="s">
        <v>434</v>
      </c>
      <c r="J95" s="36"/>
      <c r="K95" s="35">
        <v>170</v>
      </c>
      <c r="L95" s="35" t="str">
        <f>"100,6060"</f>
        <v>100,6060</v>
      </c>
      <c r="M95" s="35" t="s">
        <v>49</v>
      </c>
    </row>
    <row r="96" spans="1:13" ht="12.75">
      <c r="A96" s="35" t="s">
        <v>1543</v>
      </c>
      <c r="B96" s="35" t="s">
        <v>1544</v>
      </c>
      <c r="C96" s="35" t="s">
        <v>1545</v>
      </c>
      <c r="D96" s="35" t="str">
        <f>"0,6039"</f>
        <v>0,6039</v>
      </c>
      <c r="E96" s="35" t="s">
        <v>224</v>
      </c>
      <c r="F96" s="35" t="s">
        <v>225</v>
      </c>
      <c r="G96" s="35" t="s">
        <v>438</v>
      </c>
      <c r="H96" s="35" t="s">
        <v>433</v>
      </c>
      <c r="I96" s="36" t="s">
        <v>139</v>
      </c>
      <c r="J96" s="36"/>
      <c r="K96" s="35">
        <v>160</v>
      </c>
      <c r="L96" s="35" t="str">
        <f>"96,6160"</f>
        <v>96,6160</v>
      </c>
      <c r="M96" s="35" t="s">
        <v>1129</v>
      </c>
    </row>
    <row r="97" spans="1:13" ht="12.75">
      <c r="A97" s="35" t="s">
        <v>1546</v>
      </c>
      <c r="B97" s="35" t="s">
        <v>1547</v>
      </c>
      <c r="C97" s="35" t="s">
        <v>849</v>
      </c>
      <c r="D97" s="35" t="str">
        <f>"0,5875"</f>
        <v>0,5875</v>
      </c>
      <c r="E97" s="35" t="s">
        <v>26</v>
      </c>
      <c r="F97" s="35" t="s">
        <v>27</v>
      </c>
      <c r="G97" s="35" t="s">
        <v>682</v>
      </c>
      <c r="H97" s="35" t="s">
        <v>239</v>
      </c>
      <c r="I97" s="36" t="s">
        <v>433</v>
      </c>
      <c r="J97" s="36"/>
      <c r="K97" s="35">
        <v>157.5</v>
      </c>
      <c r="L97" s="35" t="str">
        <f>"92,5312"</f>
        <v>92,5312</v>
      </c>
      <c r="M97" s="35" t="s">
        <v>1548</v>
      </c>
    </row>
    <row r="98" spans="1:13" ht="12.75">
      <c r="A98" s="35" t="s">
        <v>1549</v>
      </c>
      <c r="B98" s="35" t="s">
        <v>1550</v>
      </c>
      <c r="C98" s="35" t="s">
        <v>838</v>
      </c>
      <c r="D98" s="35" t="str">
        <f>"0,5879"</f>
        <v>0,5879</v>
      </c>
      <c r="E98" s="35" t="s">
        <v>26</v>
      </c>
      <c r="F98" s="35" t="s">
        <v>27</v>
      </c>
      <c r="G98" s="35" t="s">
        <v>465</v>
      </c>
      <c r="H98" s="35" t="s">
        <v>274</v>
      </c>
      <c r="I98" s="36" t="s">
        <v>239</v>
      </c>
      <c r="J98" s="36"/>
      <c r="K98" s="35">
        <v>155</v>
      </c>
      <c r="L98" s="35" t="str">
        <f>"91,1245"</f>
        <v>91,1245</v>
      </c>
      <c r="M98" s="35" t="s">
        <v>1174</v>
      </c>
    </row>
    <row r="99" spans="1:13" ht="12.75">
      <c r="A99" s="35" t="s">
        <v>1551</v>
      </c>
      <c r="B99" s="35" t="s">
        <v>1552</v>
      </c>
      <c r="C99" s="35" t="s">
        <v>1553</v>
      </c>
      <c r="D99" s="35" t="str">
        <f>"0,5903"</f>
        <v>0,5903</v>
      </c>
      <c r="E99" s="35" t="s">
        <v>97</v>
      </c>
      <c r="F99" s="35" t="s">
        <v>98</v>
      </c>
      <c r="G99" s="35" t="s">
        <v>99</v>
      </c>
      <c r="H99" s="36" t="s">
        <v>54</v>
      </c>
      <c r="I99" s="35" t="s">
        <v>63</v>
      </c>
      <c r="J99" s="36"/>
      <c r="K99" s="35">
        <v>140</v>
      </c>
      <c r="L99" s="35" t="str">
        <f>"82,6420"</f>
        <v>82,6420</v>
      </c>
      <c r="M99" s="35" t="s">
        <v>49</v>
      </c>
    </row>
    <row r="100" spans="1:13" ht="12.75">
      <c r="A100" s="35" t="s">
        <v>1554</v>
      </c>
      <c r="B100" s="35" t="s">
        <v>1555</v>
      </c>
      <c r="C100" s="35" t="s">
        <v>865</v>
      </c>
      <c r="D100" s="35" t="str">
        <f>"0,5853"</f>
        <v>0,5853</v>
      </c>
      <c r="E100" s="35" t="s">
        <v>26</v>
      </c>
      <c r="F100" s="35" t="s">
        <v>27</v>
      </c>
      <c r="G100" s="35" t="s">
        <v>80</v>
      </c>
      <c r="H100" s="36" t="s">
        <v>552</v>
      </c>
      <c r="I100" s="36" t="s">
        <v>54</v>
      </c>
      <c r="J100" s="36"/>
      <c r="K100" s="35">
        <v>122.5</v>
      </c>
      <c r="L100" s="35" t="str">
        <f>"71,6993"</f>
        <v>71,6993</v>
      </c>
      <c r="M100" s="35" t="s">
        <v>1174</v>
      </c>
    </row>
    <row r="101" spans="1:13" ht="12.75">
      <c r="A101" s="35" t="s">
        <v>1556</v>
      </c>
      <c r="B101" s="35" t="s">
        <v>1557</v>
      </c>
      <c r="C101" s="35" t="s">
        <v>1558</v>
      </c>
      <c r="D101" s="35" t="str">
        <f>"0,6004"</f>
        <v>0,6004</v>
      </c>
      <c r="E101" s="35" t="s">
        <v>26</v>
      </c>
      <c r="F101" s="35" t="s">
        <v>27</v>
      </c>
      <c r="G101" s="36" t="s">
        <v>139</v>
      </c>
      <c r="H101" s="36" t="s">
        <v>434</v>
      </c>
      <c r="I101" s="36" t="s">
        <v>434</v>
      </c>
      <c r="J101" s="36"/>
      <c r="K101" s="35">
        <v>0</v>
      </c>
      <c r="L101" s="35" t="str">
        <f>"0,0000"</f>
        <v>0,0000</v>
      </c>
      <c r="M101" s="35" t="s">
        <v>49</v>
      </c>
    </row>
    <row r="102" spans="1:13" ht="12.75">
      <c r="A102" s="35" t="s">
        <v>1559</v>
      </c>
      <c r="B102" s="35" t="s">
        <v>1560</v>
      </c>
      <c r="C102" s="35" t="s">
        <v>1561</v>
      </c>
      <c r="D102" s="35" t="str">
        <f>"0,5907"</f>
        <v>0,5907</v>
      </c>
      <c r="E102" s="35" t="s">
        <v>61</v>
      </c>
      <c r="F102" s="35" t="s">
        <v>46</v>
      </c>
      <c r="G102" s="36" t="s">
        <v>433</v>
      </c>
      <c r="H102" s="36" t="s">
        <v>433</v>
      </c>
      <c r="I102" s="36" t="s">
        <v>466</v>
      </c>
      <c r="J102" s="36"/>
      <c r="K102" s="35">
        <v>0</v>
      </c>
      <c r="L102" s="35" t="str">
        <f>"0,0000"</f>
        <v>0,0000</v>
      </c>
      <c r="M102" s="35" t="s">
        <v>173</v>
      </c>
    </row>
    <row r="103" spans="1:13" ht="12.75">
      <c r="A103" s="35" t="s">
        <v>1562</v>
      </c>
      <c r="B103" s="35" t="s">
        <v>1563</v>
      </c>
      <c r="C103" s="35" t="s">
        <v>1564</v>
      </c>
      <c r="D103" s="35" t="str">
        <f>"0,5943"</f>
        <v>0,5943</v>
      </c>
      <c r="E103" s="35" t="s">
        <v>26</v>
      </c>
      <c r="F103" s="35" t="s">
        <v>27</v>
      </c>
      <c r="G103" s="35" t="s">
        <v>465</v>
      </c>
      <c r="H103" s="36" t="s">
        <v>682</v>
      </c>
      <c r="I103" s="35" t="s">
        <v>682</v>
      </c>
      <c r="J103" s="36"/>
      <c r="K103" s="35">
        <v>152.5</v>
      </c>
      <c r="L103" s="35" t="str">
        <f>"90,6307"</f>
        <v>90,6307</v>
      </c>
      <c r="M103" s="35" t="s">
        <v>1565</v>
      </c>
    </row>
    <row r="104" spans="1:13" ht="12.75">
      <c r="A104" s="35" t="s">
        <v>1566</v>
      </c>
      <c r="B104" s="35" t="s">
        <v>1567</v>
      </c>
      <c r="C104" s="35" t="s">
        <v>865</v>
      </c>
      <c r="D104" s="35" t="str">
        <f>"0,5853"</f>
        <v>0,5853</v>
      </c>
      <c r="E104" s="35" t="s">
        <v>18</v>
      </c>
      <c r="F104" s="35" t="s">
        <v>19</v>
      </c>
      <c r="G104" s="35" t="s">
        <v>55</v>
      </c>
      <c r="H104" s="35" t="s">
        <v>438</v>
      </c>
      <c r="I104" s="36" t="s">
        <v>274</v>
      </c>
      <c r="J104" s="36"/>
      <c r="K104" s="35">
        <v>150</v>
      </c>
      <c r="L104" s="35" t="str">
        <f>"88,5852"</f>
        <v>88,5852</v>
      </c>
      <c r="M104" s="35" t="s">
        <v>72</v>
      </c>
    </row>
    <row r="105" spans="1:13" ht="12.75">
      <c r="A105" s="35" t="s">
        <v>1568</v>
      </c>
      <c r="B105" s="35" t="s">
        <v>1569</v>
      </c>
      <c r="C105" s="35" t="s">
        <v>1570</v>
      </c>
      <c r="D105" s="35" t="str">
        <f>"0,6059"</f>
        <v>0,6059</v>
      </c>
      <c r="E105" s="35" t="s">
        <v>26</v>
      </c>
      <c r="F105" s="35" t="s">
        <v>27</v>
      </c>
      <c r="G105" s="36" t="s">
        <v>62</v>
      </c>
      <c r="H105" s="35" t="s">
        <v>62</v>
      </c>
      <c r="I105" s="36" t="s">
        <v>467</v>
      </c>
      <c r="J105" s="36"/>
      <c r="K105" s="35">
        <v>130</v>
      </c>
      <c r="L105" s="35" t="str">
        <f>"78,7670"</f>
        <v>78,7670</v>
      </c>
      <c r="M105" s="35" t="s">
        <v>173</v>
      </c>
    </row>
    <row r="106" spans="1:13" ht="12.75">
      <c r="A106" s="37" t="s">
        <v>1571</v>
      </c>
      <c r="B106" s="37" t="s">
        <v>1572</v>
      </c>
      <c r="C106" s="37" t="s">
        <v>1573</v>
      </c>
      <c r="D106" s="37" t="str">
        <f>"0,5865"</f>
        <v>0,5865</v>
      </c>
      <c r="E106" s="37" t="s">
        <v>399</v>
      </c>
      <c r="F106" s="37" t="s">
        <v>389</v>
      </c>
      <c r="G106" s="37" t="s">
        <v>682</v>
      </c>
      <c r="H106" s="37" t="s">
        <v>274</v>
      </c>
      <c r="I106" s="37" t="s">
        <v>433</v>
      </c>
      <c r="J106" s="38"/>
      <c r="K106" s="37">
        <v>160</v>
      </c>
      <c r="L106" s="37" t="str">
        <f>"113,4526"</f>
        <v>113,4526</v>
      </c>
      <c r="M106" s="37" t="s">
        <v>1180</v>
      </c>
    </row>
    <row r="108" spans="1:12" ht="15">
      <c r="A108" s="62" t="s">
        <v>206</v>
      </c>
      <c r="B108" s="62"/>
      <c r="C108" s="62"/>
      <c r="D108" s="62"/>
      <c r="E108" s="62"/>
      <c r="F108" s="62"/>
      <c r="G108" s="62"/>
      <c r="H108" s="62"/>
      <c r="I108" s="62"/>
      <c r="J108" s="62"/>
      <c r="K108" s="62"/>
      <c r="L108" s="62"/>
    </row>
    <row r="109" spans="1:13" ht="12.75">
      <c r="A109" s="33" t="s">
        <v>1574</v>
      </c>
      <c r="B109" s="33" t="s">
        <v>1575</v>
      </c>
      <c r="C109" s="33" t="s">
        <v>1576</v>
      </c>
      <c r="D109" s="33" t="str">
        <f>"0,5836"</f>
        <v>0,5836</v>
      </c>
      <c r="E109" s="33" t="s">
        <v>224</v>
      </c>
      <c r="F109" s="33" t="s">
        <v>225</v>
      </c>
      <c r="G109" s="33" t="s">
        <v>29</v>
      </c>
      <c r="H109" s="33" t="s">
        <v>39</v>
      </c>
      <c r="I109" s="33" t="s">
        <v>62</v>
      </c>
      <c r="J109" s="34"/>
      <c r="K109" s="33">
        <v>130</v>
      </c>
      <c r="L109" s="33" t="str">
        <f>"85,7308"</f>
        <v>85,7308</v>
      </c>
      <c r="M109" s="33" t="s">
        <v>1129</v>
      </c>
    </row>
    <row r="110" spans="1:13" ht="12.75">
      <c r="A110" s="35" t="s">
        <v>1577</v>
      </c>
      <c r="B110" s="35" t="s">
        <v>1578</v>
      </c>
      <c r="C110" s="35" t="s">
        <v>1579</v>
      </c>
      <c r="D110" s="35" t="str">
        <f>"0,5742"</f>
        <v>0,5742</v>
      </c>
      <c r="E110" s="35" t="s">
        <v>224</v>
      </c>
      <c r="F110" s="35" t="s">
        <v>225</v>
      </c>
      <c r="G110" s="35" t="s">
        <v>826</v>
      </c>
      <c r="H110" s="36" t="s">
        <v>123</v>
      </c>
      <c r="I110" s="36" t="s">
        <v>123</v>
      </c>
      <c r="J110" s="36"/>
      <c r="K110" s="35">
        <v>172.5</v>
      </c>
      <c r="L110" s="35" t="str">
        <f>"100,0400"</f>
        <v>100,0400</v>
      </c>
      <c r="M110" s="35" t="s">
        <v>1129</v>
      </c>
    </row>
    <row r="111" spans="1:13" ht="12.75">
      <c r="A111" s="35" t="s">
        <v>1580</v>
      </c>
      <c r="B111" s="35" t="s">
        <v>1581</v>
      </c>
      <c r="C111" s="35" t="s">
        <v>1582</v>
      </c>
      <c r="D111" s="35" t="str">
        <f>"0,5667"</f>
        <v>0,5667</v>
      </c>
      <c r="E111" s="35" t="s">
        <v>26</v>
      </c>
      <c r="F111" s="35" t="s">
        <v>27</v>
      </c>
      <c r="G111" s="36" t="s">
        <v>872</v>
      </c>
      <c r="H111" s="35" t="s">
        <v>465</v>
      </c>
      <c r="I111" s="36" t="s">
        <v>682</v>
      </c>
      <c r="J111" s="36"/>
      <c r="K111" s="35">
        <v>147.5</v>
      </c>
      <c r="L111" s="35" t="str">
        <f>"85,2675"</f>
        <v>85,2675</v>
      </c>
      <c r="M111" s="35" t="s">
        <v>49</v>
      </c>
    </row>
    <row r="112" spans="1:13" ht="12.75">
      <c r="A112" s="35" t="s">
        <v>1583</v>
      </c>
      <c r="B112" s="35" t="s">
        <v>1584</v>
      </c>
      <c r="C112" s="35" t="s">
        <v>605</v>
      </c>
      <c r="D112" s="35" t="str">
        <f>"0,5613"</f>
        <v>0,5613</v>
      </c>
      <c r="E112" s="35" t="s">
        <v>18</v>
      </c>
      <c r="F112" s="35" t="s">
        <v>19</v>
      </c>
      <c r="G112" s="35" t="s">
        <v>433</v>
      </c>
      <c r="H112" s="35" t="s">
        <v>876</v>
      </c>
      <c r="I112" s="35" t="s">
        <v>826</v>
      </c>
      <c r="J112" s="36"/>
      <c r="K112" s="35">
        <v>172.5</v>
      </c>
      <c r="L112" s="35" t="str">
        <f>"96,8242"</f>
        <v>96,8242</v>
      </c>
      <c r="M112" s="35" t="s">
        <v>72</v>
      </c>
    </row>
    <row r="113" spans="1:13" ht="12.75">
      <c r="A113" s="35" t="s">
        <v>1585</v>
      </c>
      <c r="B113" s="35" t="s">
        <v>1586</v>
      </c>
      <c r="C113" s="35" t="s">
        <v>608</v>
      </c>
      <c r="D113" s="35" t="str">
        <f>"0,5540"</f>
        <v>0,5540</v>
      </c>
      <c r="E113" s="35" t="s">
        <v>97</v>
      </c>
      <c r="F113" s="35" t="s">
        <v>98</v>
      </c>
      <c r="G113" s="35" t="s">
        <v>275</v>
      </c>
      <c r="H113" s="35" t="s">
        <v>139</v>
      </c>
      <c r="I113" s="36" t="s">
        <v>826</v>
      </c>
      <c r="J113" s="36"/>
      <c r="K113" s="35">
        <v>170</v>
      </c>
      <c r="L113" s="35" t="str">
        <f>"94,1800"</f>
        <v>94,1800</v>
      </c>
      <c r="M113" s="35" t="s">
        <v>49</v>
      </c>
    </row>
    <row r="114" spans="1:13" ht="12.75">
      <c r="A114" s="35" t="s">
        <v>1587</v>
      </c>
      <c r="B114" s="35" t="s">
        <v>1588</v>
      </c>
      <c r="C114" s="35" t="s">
        <v>1589</v>
      </c>
      <c r="D114" s="35" t="str">
        <f>"0,5573"</f>
        <v>0,5573</v>
      </c>
      <c r="E114" s="35" t="s">
        <v>1456</v>
      </c>
      <c r="F114" s="35" t="s">
        <v>1457</v>
      </c>
      <c r="G114" s="35" t="s">
        <v>274</v>
      </c>
      <c r="H114" s="35" t="s">
        <v>466</v>
      </c>
      <c r="I114" s="35" t="s">
        <v>876</v>
      </c>
      <c r="J114" s="36"/>
      <c r="K114" s="35">
        <v>167.5</v>
      </c>
      <c r="L114" s="35" t="str">
        <f>"93,3477"</f>
        <v>93,3477</v>
      </c>
      <c r="M114" s="35" t="s">
        <v>1523</v>
      </c>
    </row>
    <row r="115" spans="1:13" ht="12.75">
      <c r="A115" s="35" t="s">
        <v>1590</v>
      </c>
      <c r="B115" s="35" t="s">
        <v>1591</v>
      </c>
      <c r="C115" s="35" t="s">
        <v>1592</v>
      </c>
      <c r="D115" s="35" t="str">
        <f>"0,5556"</f>
        <v>0,5556</v>
      </c>
      <c r="E115" s="35" t="s">
        <v>26</v>
      </c>
      <c r="F115" s="35" t="s">
        <v>27</v>
      </c>
      <c r="G115" s="35" t="s">
        <v>438</v>
      </c>
      <c r="H115" s="35" t="s">
        <v>466</v>
      </c>
      <c r="I115" s="36" t="s">
        <v>275</v>
      </c>
      <c r="J115" s="36"/>
      <c r="K115" s="35">
        <v>162.5</v>
      </c>
      <c r="L115" s="35" t="str">
        <f>"90,2931"</f>
        <v>90,2931</v>
      </c>
      <c r="M115" s="35" t="s">
        <v>49</v>
      </c>
    </row>
    <row r="116" spans="1:13" ht="12.75">
      <c r="A116" s="35" t="s">
        <v>1593</v>
      </c>
      <c r="B116" s="35" t="s">
        <v>1594</v>
      </c>
      <c r="C116" s="35" t="s">
        <v>1595</v>
      </c>
      <c r="D116" s="35" t="str">
        <f>"0,5660"</f>
        <v>0,5660</v>
      </c>
      <c r="E116" s="35" t="s">
        <v>97</v>
      </c>
      <c r="F116" s="35" t="s">
        <v>98</v>
      </c>
      <c r="G116" s="36" t="s">
        <v>1417</v>
      </c>
      <c r="H116" s="35" t="s">
        <v>872</v>
      </c>
      <c r="I116" s="36" t="s">
        <v>438</v>
      </c>
      <c r="J116" s="36"/>
      <c r="K116" s="35">
        <v>142.5</v>
      </c>
      <c r="L116" s="35" t="str">
        <f>"80,6550"</f>
        <v>80,6550</v>
      </c>
      <c r="M116" s="35" t="s">
        <v>49</v>
      </c>
    </row>
    <row r="117" spans="1:13" ht="12.75">
      <c r="A117" s="35" t="s">
        <v>1596</v>
      </c>
      <c r="B117" s="35" t="s">
        <v>1597</v>
      </c>
      <c r="C117" s="35" t="s">
        <v>1598</v>
      </c>
      <c r="D117" s="35" t="str">
        <f>"0,5623"</f>
        <v>0,5623</v>
      </c>
      <c r="E117" s="35" t="s">
        <v>26</v>
      </c>
      <c r="F117" s="35" t="s">
        <v>27</v>
      </c>
      <c r="G117" s="35" t="s">
        <v>62</v>
      </c>
      <c r="H117" s="35" t="s">
        <v>872</v>
      </c>
      <c r="I117" s="36" t="s">
        <v>55</v>
      </c>
      <c r="J117" s="36"/>
      <c r="K117" s="35">
        <v>142.5</v>
      </c>
      <c r="L117" s="35" t="str">
        <f>"80,1278"</f>
        <v>80,1278</v>
      </c>
      <c r="M117" s="35" t="s">
        <v>1599</v>
      </c>
    </row>
    <row r="118" spans="1:13" ht="12.75">
      <c r="A118" s="35" t="s">
        <v>1600</v>
      </c>
      <c r="B118" s="35" t="s">
        <v>1601</v>
      </c>
      <c r="C118" s="35" t="s">
        <v>1602</v>
      </c>
      <c r="D118" s="35" t="str">
        <f>"0,5560"</f>
        <v>0,5560</v>
      </c>
      <c r="E118" s="35" t="s">
        <v>37</v>
      </c>
      <c r="F118" s="35" t="s">
        <v>38</v>
      </c>
      <c r="G118" s="35" t="s">
        <v>123</v>
      </c>
      <c r="H118" s="36" t="s">
        <v>124</v>
      </c>
      <c r="I118" s="36" t="s">
        <v>124</v>
      </c>
      <c r="J118" s="36"/>
      <c r="K118" s="35">
        <v>180</v>
      </c>
      <c r="L118" s="35" t="str">
        <f>"101,8814"</f>
        <v>101,8814</v>
      </c>
      <c r="M118" s="35" t="s">
        <v>41</v>
      </c>
    </row>
    <row r="119" spans="1:13" ht="12.75">
      <c r="A119" s="35" t="s">
        <v>1585</v>
      </c>
      <c r="B119" s="35" t="s">
        <v>1603</v>
      </c>
      <c r="C119" s="35" t="s">
        <v>608</v>
      </c>
      <c r="D119" s="35" t="str">
        <f>"0,5540"</f>
        <v>0,5540</v>
      </c>
      <c r="E119" s="35" t="s">
        <v>97</v>
      </c>
      <c r="F119" s="35" t="s">
        <v>98</v>
      </c>
      <c r="G119" s="35" t="s">
        <v>275</v>
      </c>
      <c r="H119" s="35" t="s">
        <v>139</v>
      </c>
      <c r="I119" s="36" t="s">
        <v>826</v>
      </c>
      <c r="J119" s="36"/>
      <c r="K119" s="35">
        <v>170</v>
      </c>
      <c r="L119" s="35" t="str">
        <f>"94,1800"</f>
        <v>94,1800</v>
      </c>
      <c r="M119" s="35" t="s">
        <v>49</v>
      </c>
    </row>
    <row r="120" spans="1:13" ht="12.75">
      <c r="A120" s="35" t="s">
        <v>1604</v>
      </c>
      <c r="B120" s="35" t="s">
        <v>1605</v>
      </c>
      <c r="C120" s="35" t="s">
        <v>1602</v>
      </c>
      <c r="D120" s="35" t="str">
        <f>"0,5560"</f>
        <v>0,5560</v>
      </c>
      <c r="E120" s="35" t="s">
        <v>399</v>
      </c>
      <c r="F120" s="35" t="s">
        <v>389</v>
      </c>
      <c r="G120" s="35" t="s">
        <v>876</v>
      </c>
      <c r="H120" s="35" t="s">
        <v>826</v>
      </c>
      <c r="I120" s="36" t="s">
        <v>434</v>
      </c>
      <c r="J120" s="36"/>
      <c r="K120" s="35">
        <v>172.5</v>
      </c>
      <c r="L120" s="35" t="str">
        <f>"107,1315"</f>
        <v>107,1315</v>
      </c>
      <c r="M120" s="35" t="s">
        <v>1606</v>
      </c>
    </row>
    <row r="121" spans="1:13" ht="12.75">
      <c r="A121" s="35" t="s">
        <v>1607</v>
      </c>
      <c r="B121" s="35" t="s">
        <v>1608</v>
      </c>
      <c r="C121" s="35" t="s">
        <v>1609</v>
      </c>
      <c r="D121" s="35" t="str">
        <f>"0,5795"</f>
        <v>0,5795</v>
      </c>
      <c r="E121" s="35" t="s">
        <v>859</v>
      </c>
      <c r="F121" s="35" t="s">
        <v>1411</v>
      </c>
      <c r="G121" s="35" t="s">
        <v>63</v>
      </c>
      <c r="H121" s="36" t="s">
        <v>55</v>
      </c>
      <c r="I121" s="35" t="s">
        <v>55</v>
      </c>
      <c r="J121" s="36"/>
      <c r="K121" s="35">
        <v>145</v>
      </c>
      <c r="L121" s="35" t="str">
        <f>"101,5893"</f>
        <v>101,5893</v>
      </c>
      <c r="M121" s="35" t="s">
        <v>1412</v>
      </c>
    </row>
    <row r="122" spans="1:13" ht="12.75">
      <c r="A122" s="35" t="s">
        <v>1610</v>
      </c>
      <c r="B122" s="35" t="s">
        <v>1611</v>
      </c>
      <c r="C122" s="35" t="s">
        <v>882</v>
      </c>
      <c r="D122" s="35" t="str">
        <f>"0,5639"</f>
        <v>0,5639</v>
      </c>
      <c r="E122" s="35" t="s">
        <v>1612</v>
      </c>
      <c r="F122" s="35" t="s">
        <v>1613</v>
      </c>
      <c r="G122" s="35" t="s">
        <v>466</v>
      </c>
      <c r="H122" s="36" t="s">
        <v>876</v>
      </c>
      <c r="I122" s="35" t="s">
        <v>876</v>
      </c>
      <c r="J122" s="36"/>
      <c r="K122" s="35">
        <v>167.5</v>
      </c>
      <c r="L122" s="35" t="str">
        <f>"139,7908"</f>
        <v>139,7908</v>
      </c>
      <c r="M122" s="35" t="s">
        <v>1614</v>
      </c>
    </row>
    <row r="123" spans="1:13" ht="12.75">
      <c r="A123" s="35" t="s">
        <v>1615</v>
      </c>
      <c r="B123" s="35" t="s">
        <v>1616</v>
      </c>
      <c r="C123" s="35" t="s">
        <v>608</v>
      </c>
      <c r="D123" s="35" t="str">
        <f>"0,5540"</f>
        <v>0,5540</v>
      </c>
      <c r="E123" s="35" t="s">
        <v>182</v>
      </c>
      <c r="F123" s="35" t="s">
        <v>27</v>
      </c>
      <c r="G123" s="35" t="s">
        <v>466</v>
      </c>
      <c r="H123" s="35" t="s">
        <v>876</v>
      </c>
      <c r="I123" s="36" t="s">
        <v>139</v>
      </c>
      <c r="J123" s="36"/>
      <c r="K123" s="35">
        <v>167.5</v>
      </c>
      <c r="L123" s="35" t="str">
        <f>"137,3366"</f>
        <v>137,3366</v>
      </c>
      <c r="M123" s="35" t="s">
        <v>49</v>
      </c>
    </row>
    <row r="124" spans="1:13" ht="12.75">
      <c r="A124" s="35" t="s">
        <v>1617</v>
      </c>
      <c r="B124" s="35" t="s">
        <v>1618</v>
      </c>
      <c r="C124" s="35" t="s">
        <v>1619</v>
      </c>
      <c r="D124" s="35" t="str">
        <f>"0,5553"</f>
        <v>0,5553</v>
      </c>
      <c r="E124" s="35" t="s">
        <v>61</v>
      </c>
      <c r="F124" s="35" t="s">
        <v>46</v>
      </c>
      <c r="G124" s="35" t="s">
        <v>433</v>
      </c>
      <c r="H124" s="35" t="s">
        <v>275</v>
      </c>
      <c r="I124" s="36" t="s">
        <v>876</v>
      </c>
      <c r="J124" s="36"/>
      <c r="K124" s="35">
        <v>165</v>
      </c>
      <c r="L124" s="35" t="str">
        <f>"131,0230"</f>
        <v>131,0230</v>
      </c>
      <c r="M124" s="35" t="s">
        <v>1620</v>
      </c>
    </row>
    <row r="125" spans="1:13" ht="12.75">
      <c r="A125" s="37" t="s">
        <v>1621</v>
      </c>
      <c r="B125" s="37" t="s">
        <v>1622</v>
      </c>
      <c r="C125" s="37" t="s">
        <v>718</v>
      </c>
      <c r="D125" s="37" t="str">
        <f>"0,5644"</f>
        <v>0,5644</v>
      </c>
      <c r="E125" s="37" t="s">
        <v>843</v>
      </c>
      <c r="F125" s="37" t="s">
        <v>844</v>
      </c>
      <c r="G125" s="37" t="s">
        <v>1417</v>
      </c>
      <c r="H125" s="38" t="s">
        <v>55</v>
      </c>
      <c r="I125" s="37" t="s">
        <v>438</v>
      </c>
      <c r="J125" s="38"/>
      <c r="K125" s="37">
        <v>150</v>
      </c>
      <c r="L125" s="37" t="str">
        <f>"121,0531"</f>
        <v>121,0531</v>
      </c>
      <c r="M125" s="37" t="s">
        <v>49</v>
      </c>
    </row>
    <row r="127" spans="1:12" ht="15">
      <c r="A127" s="62" t="s">
        <v>235</v>
      </c>
      <c r="B127" s="62"/>
      <c r="C127" s="62"/>
      <c r="D127" s="62"/>
      <c r="E127" s="62"/>
      <c r="F127" s="62"/>
      <c r="G127" s="62"/>
      <c r="H127" s="62"/>
      <c r="I127" s="62"/>
      <c r="J127" s="62"/>
      <c r="K127" s="62"/>
      <c r="L127" s="62"/>
    </row>
    <row r="128" spans="1:13" ht="12.75">
      <c r="A128" s="33" t="s">
        <v>1623</v>
      </c>
      <c r="B128" s="33" t="s">
        <v>1624</v>
      </c>
      <c r="C128" s="33" t="s">
        <v>1625</v>
      </c>
      <c r="D128" s="33" t="str">
        <f>"0,5378"</f>
        <v>0,5378</v>
      </c>
      <c r="E128" s="33" t="s">
        <v>26</v>
      </c>
      <c r="F128" s="33" t="s">
        <v>27</v>
      </c>
      <c r="G128" s="33" t="s">
        <v>124</v>
      </c>
      <c r="H128" s="34" t="s">
        <v>851</v>
      </c>
      <c r="I128" s="33" t="s">
        <v>851</v>
      </c>
      <c r="J128" s="34"/>
      <c r="K128" s="33">
        <v>212.5</v>
      </c>
      <c r="L128" s="33" t="str">
        <f>"114,2825"</f>
        <v>114,2825</v>
      </c>
      <c r="M128" s="33" t="s">
        <v>49</v>
      </c>
    </row>
    <row r="129" spans="1:13" ht="12.75">
      <c r="A129" s="35" t="s">
        <v>1626</v>
      </c>
      <c r="B129" s="35" t="s">
        <v>1627</v>
      </c>
      <c r="C129" s="35" t="s">
        <v>1628</v>
      </c>
      <c r="D129" s="35" t="str">
        <f>"0,5376"</f>
        <v>0,5376</v>
      </c>
      <c r="E129" s="35" t="s">
        <v>18</v>
      </c>
      <c r="F129" s="35" t="s">
        <v>19</v>
      </c>
      <c r="G129" s="35" t="s">
        <v>709</v>
      </c>
      <c r="H129" s="35" t="s">
        <v>124</v>
      </c>
      <c r="I129" s="35" t="s">
        <v>218</v>
      </c>
      <c r="J129" s="36"/>
      <c r="K129" s="35">
        <v>200</v>
      </c>
      <c r="L129" s="35" t="str">
        <f>"107,5200"</f>
        <v>107,5200</v>
      </c>
      <c r="M129" s="35" t="s">
        <v>49</v>
      </c>
    </row>
    <row r="130" spans="1:13" ht="12.75">
      <c r="A130" s="35" t="s">
        <v>1629</v>
      </c>
      <c r="B130" s="35" t="s">
        <v>1630</v>
      </c>
      <c r="C130" s="35" t="s">
        <v>725</v>
      </c>
      <c r="D130" s="35" t="str">
        <f>"0,5479"</f>
        <v>0,5479</v>
      </c>
      <c r="E130" s="35" t="s">
        <v>26</v>
      </c>
      <c r="F130" s="35" t="s">
        <v>27</v>
      </c>
      <c r="G130" s="35" t="s">
        <v>150</v>
      </c>
      <c r="H130" s="35" t="s">
        <v>123</v>
      </c>
      <c r="I130" s="36" t="s">
        <v>124</v>
      </c>
      <c r="J130" s="36"/>
      <c r="K130" s="35">
        <v>180</v>
      </c>
      <c r="L130" s="35" t="str">
        <f>"98,6220"</f>
        <v>98,6220</v>
      </c>
      <c r="M130" s="35" t="s">
        <v>1631</v>
      </c>
    </row>
    <row r="131" spans="1:13" ht="12.75">
      <c r="A131" s="35" t="s">
        <v>1632</v>
      </c>
      <c r="B131" s="35" t="s">
        <v>1633</v>
      </c>
      <c r="C131" s="35" t="s">
        <v>1634</v>
      </c>
      <c r="D131" s="35" t="str">
        <f>"0,5493"</f>
        <v>0,5493</v>
      </c>
      <c r="E131" s="35" t="s">
        <v>26</v>
      </c>
      <c r="F131" s="35" t="s">
        <v>27</v>
      </c>
      <c r="G131" s="35" t="s">
        <v>433</v>
      </c>
      <c r="H131" s="35" t="s">
        <v>876</v>
      </c>
      <c r="I131" s="35" t="s">
        <v>150</v>
      </c>
      <c r="J131" s="36"/>
      <c r="K131" s="35">
        <v>175</v>
      </c>
      <c r="L131" s="35" t="str">
        <f>"96,1275"</f>
        <v>96,1275</v>
      </c>
      <c r="M131" s="35" t="s">
        <v>49</v>
      </c>
    </row>
    <row r="132" spans="1:13" ht="12.75">
      <c r="A132" s="35" t="s">
        <v>1623</v>
      </c>
      <c r="B132" s="35" t="s">
        <v>1635</v>
      </c>
      <c r="C132" s="35" t="s">
        <v>1625</v>
      </c>
      <c r="D132" s="35" t="str">
        <f>"0,5378"</f>
        <v>0,5378</v>
      </c>
      <c r="E132" s="35" t="s">
        <v>26</v>
      </c>
      <c r="F132" s="35" t="s">
        <v>27</v>
      </c>
      <c r="G132" s="35" t="s">
        <v>124</v>
      </c>
      <c r="H132" s="36" t="s">
        <v>851</v>
      </c>
      <c r="I132" s="35" t="s">
        <v>851</v>
      </c>
      <c r="J132" s="36"/>
      <c r="K132" s="35">
        <v>212.5</v>
      </c>
      <c r="L132" s="35" t="str">
        <f>"114,6254"</f>
        <v>114,6254</v>
      </c>
      <c r="M132" s="35" t="s">
        <v>49</v>
      </c>
    </row>
    <row r="133" spans="1:13" ht="12.75">
      <c r="A133" s="35" t="s">
        <v>1636</v>
      </c>
      <c r="B133" s="35" t="s">
        <v>1637</v>
      </c>
      <c r="C133" s="35" t="s">
        <v>1638</v>
      </c>
      <c r="D133" s="35" t="str">
        <f>"0,5497"</f>
        <v>0,5497</v>
      </c>
      <c r="E133" s="35" t="s">
        <v>26</v>
      </c>
      <c r="F133" s="35" t="s">
        <v>27</v>
      </c>
      <c r="G133" s="36" t="s">
        <v>62</v>
      </c>
      <c r="H133" s="35" t="s">
        <v>62</v>
      </c>
      <c r="I133" s="36" t="s">
        <v>467</v>
      </c>
      <c r="J133" s="36"/>
      <c r="K133" s="35">
        <v>130</v>
      </c>
      <c r="L133" s="35" t="str">
        <f>"71,6754"</f>
        <v>71,6754</v>
      </c>
      <c r="M133" s="35" t="s">
        <v>1639</v>
      </c>
    </row>
    <row r="134" spans="1:13" ht="12.75">
      <c r="A134" s="35" t="s">
        <v>1640</v>
      </c>
      <c r="B134" s="35" t="s">
        <v>1637</v>
      </c>
      <c r="C134" s="35" t="s">
        <v>1638</v>
      </c>
      <c r="D134" s="35" t="str">
        <f>"0,5497"</f>
        <v>0,5497</v>
      </c>
      <c r="E134" s="35" t="s">
        <v>26</v>
      </c>
      <c r="F134" s="35" t="s">
        <v>27</v>
      </c>
      <c r="G134" s="36" t="s">
        <v>62</v>
      </c>
      <c r="H134" s="36"/>
      <c r="I134" s="36"/>
      <c r="J134" s="36"/>
      <c r="K134" s="35">
        <v>0</v>
      </c>
      <c r="L134" s="35" t="str">
        <f>"0,0000"</f>
        <v>0,0000</v>
      </c>
      <c r="M134" s="35" t="s">
        <v>173</v>
      </c>
    </row>
    <row r="135" spans="1:13" ht="12.75">
      <c r="A135" s="35" t="s">
        <v>1641</v>
      </c>
      <c r="B135" s="35" t="s">
        <v>1642</v>
      </c>
      <c r="C135" s="35" t="s">
        <v>1643</v>
      </c>
      <c r="D135" s="35" t="str">
        <f>"0,5416"</f>
        <v>0,5416</v>
      </c>
      <c r="E135" s="35" t="s">
        <v>26</v>
      </c>
      <c r="F135" s="35" t="s">
        <v>27</v>
      </c>
      <c r="G135" s="35" t="s">
        <v>123</v>
      </c>
      <c r="H135" s="35" t="s">
        <v>124</v>
      </c>
      <c r="I135" s="36" t="s">
        <v>218</v>
      </c>
      <c r="J135" s="36"/>
      <c r="K135" s="35">
        <v>190</v>
      </c>
      <c r="L135" s="35" t="str">
        <f>"117,7222"</f>
        <v>117,7222</v>
      </c>
      <c r="M135" s="35" t="s">
        <v>1644</v>
      </c>
    </row>
    <row r="136" spans="1:13" ht="12.75">
      <c r="A136" s="35" t="s">
        <v>1645</v>
      </c>
      <c r="B136" s="35" t="s">
        <v>1646</v>
      </c>
      <c r="C136" s="35" t="s">
        <v>1647</v>
      </c>
      <c r="D136" s="35" t="str">
        <f>"0,5391"</f>
        <v>0,5391</v>
      </c>
      <c r="E136" s="35" t="s">
        <v>1648</v>
      </c>
      <c r="F136" s="35" t="s">
        <v>27</v>
      </c>
      <c r="G136" s="35" t="s">
        <v>99</v>
      </c>
      <c r="H136" s="35" t="s">
        <v>62</v>
      </c>
      <c r="I136" s="36" t="s">
        <v>54</v>
      </c>
      <c r="J136" s="36"/>
      <c r="K136" s="35">
        <v>130</v>
      </c>
      <c r="L136" s="35" t="str">
        <f>"73,4470"</f>
        <v>73,4470</v>
      </c>
      <c r="M136" s="35" t="s">
        <v>1649</v>
      </c>
    </row>
    <row r="137" spans="1:13" ht="12.75">
      <c r="A137" s="35" t="s">
        <v>1650</v>
      </c>
      <c r="B137" s="35" t="s">
        <v>1651</v>
      </c>
      <c r="C137" s="35" t="s">
        <v>1652</v>
      </c>
      <c r="D137" s="35" t="str">
        <f>"0,5522"</f>
        <v>0,5522</v>
      </c>
      <c r="E137" s="35" t="s">
        <v>105</v>
      </c>
      <c r="F137" s="35" t="s">
        <v>106</v>
      </c>
      <c r="G137" s="35" t="s">
        <v>39</v>
      </c>
      <c r="H137" s="35" t="s">
        <v>62</v>
      </c>
      <c r="I137" s="35" t="s">
        <v>54</v>
      </c>
      <c r="J137" s="36"/>
      <c r="K137" s="35">
        <v>135</v>
      </c>
      <c r="L137" s="35" t="str">
        <f>"99,1475"</f>
        <v>99,1475</v>
      </c>
      <c r="M137" s="35" t="s">
        <v>107</v>
      </c>
    </row>
    <row r="138" spans="1:13" ht="12.75">
      <c r="A138" s="37" t="s">
        <v>1653</v>
      </c>
      <c r="B138" s="37" t="s">
        <v>1654</v>
      </c>
      <c r="C138" s="37" t="s">
        <v>920</v>
      </c>
      <c r="D138" s="37" t="str">
        <f>"0,5396"</f>
        <v>0,5396</v>
      </c>
      <c r="E138" s="37" t="s">
        <v>130</v>
      </c>
      <c r="F138" s="37" t="s">
        <v>131</v>
      </c>
      <c r="G138" s="38" t="s">
        <v>54</v>
      </c>
      <c r="H138" s="37" t="s">
        <v>54</v>
      </c>
      <c r="I138" s="38" t="s">
        <v>63</v>
      </c>
      <c r="J138" s="38"/>
      <c r="K138" s="37">
        <v>135</v>
      </c>
      <c r="L138" s="37" t="str">
        <f>"146,4205"</f>
        <v>146,4205</v>
      </c>
      <c r="M138" s="37" t="s">
        <v>49</v>
      </c>
    </row>
    <row r="140" spans="1:12" ht="15">
      <c r="A140" s="62" t="s">
        <v>262</v>
      </c>
      <c r="B140" s="62"/>
      <c r="C140" s="62"/>
      <c r="D140" s="62"/>
      <c r="E140" s="62"/>
      <c r="F140" s="62"/>
      <c r="G140" s="62"/>
      <c r="H140" s="62"/>
      <c r="I140" s="62"/>
      <c r="J140" s="62"/>
      <c r="K140" s="62"/>
      <c r="L140" s="62"/>
    </row>
    <row r="141" spans="1:13" ht="12.75">
      <c r="A141" s="33" t="s">
        <v>1655</v>
      </c>
      <c r="B141" s="33" t="s">
        <v>1656</v>
      </c>
      <c r="C141" s="33" t="s">
        <v>1657</v>
      </c>
      <c r="D141" s="33" t="str">
        <f>"0,5353"</f>
        <v>0,5353</v>
      </c>
      <c r="E141" s="33" t="s">
        <v>18</v>
      </c>
      <c r="F141" s="33" t="s">
        <v>1658</v>
      </c>
      <c r="G141" s="34" t="s">
        <v>150</v>
      </c>
      <c r="H141" s="33" t="s">
        <v>150</v>
      </c>
      <c r="I141" s="33" t="s">
        <v>709</v>
      </c>
      <c r="J141" s="34"/>
      <c r="K141" s="33">
        <v>182.5</v>
      </c>
      <c r="L141" s="33" t="str">
        <f>"97,6923"</f>
        <v>97,6923</v>
      </c>
      <c r="M141" s="33" t="s">
        <v>49</v>
      </c>
    </row>
    <row r="142" spans="1:13" ht="12.75">
      <c r="A142" s="35" t="s">
        <v>1659</v>
      </c>
      <c r="B142" s="35" t="s">
        <v>1660</v>
      </c>
      <c r="C142" s="35" t="s">
        <v>1661</v>
      </c>
      <c r="D142" s="35" t="str">
        <f>"0,5290"</f>
        <v>0,5290</v>
      </c>
      <c r="E142" s="35" t="s">
        <v>97</v>
      </c>
      <c r="F142" s="35" t="s">
        <v>98</v>
      </c>
      <c r="G142" s="35" t="s">
        <v>433</v>
      </c>
      <c r="H142" s="35" t="s">
        <v>876</v>
      </c>
      <c r="I142" s="35" t="s">
        <v>826</v>
      </c>
      <c r="J142" s="36"/>
      <c r="K142" s="35">
        <v>172.5</v>
      </c>
      <c r="L142" s="35" t="str">
        <f>"92,1650"</f>
        <v>92,1650</v>
      </c>
      <c r="M142" s="35" t="s">
        <v>1662</v>
      </c>
    </row>
    <row r="143" spans="1:13" ht="12.75">
      <c r="A143" s="35" t="s">
        <v>1663</v>
      </c>
      <c r="B143" s="35" t="s">
        <v>1664</v>
      </c>
      <c r="C143" s="35" t="s">
        <v>1665</v>
      </c>
      <c r="D143" s="35" t="str">
        <f>"0,5241"</f>
        <v>0,5241</v>
      </c>
      <c r="E143" s="35" t="s">
        <v>61</v>
      </c>
      <c r="F143" s="35" t="s">
        <v>46</v>
      </c>
      <c r="G143" s="35" t="s">
        <v>218</v>
      </c>
      <c r="H143" s="35" t="s">
        <v>231</v>
      </c>
      <c r="I143" s="35" t="s">
        <v>198</v>
      </c>
      <c r="J143" s="36"/>
      <c r="K143" s="35">
        <v>215</v>
      </c>
      <c r="L143" s="35" t="str">
        <f>"112,6815"</f>
        <v>112,6815</v>
      </c>
      <c r="M143" s="35" t="s">
        <v>1666</v>
      </c>
    </row>
    <row r="144" spans="1:13" ht="12.75">
      <c r="A144" s="35" t="s">
        <v>1667</v>
      </c>
      <c r="B144" s="35" t="s">
        <v>1668</v>
      </c>
      <c r="C144" s="35" t="s">
        <v>1669</v>
      </c>
      <c r="D144" s="35" t="str">
        <f>"0,5307"</f>
        <v>0,5307</v>
      </c>
      <c r="E144" s="35" t="s">
        <v>18</v>
      </c>
      <c r="F144" s="35" t="s">
        <v>1658</v>
      </c>
      <c r="G144" s="35" t="s">
        <v>146</v>
      </c>
      <c r="H144" s="36" t="s">
        <v>252</v>
      </c>
      <c r="I144" s="36" t="s">
        <v>252</v>
      </c>
      <c r="J144" s="36"/>
      <c r="K144" s="35">
        <v>185</v>
      </c>
      <c r="L144" s="35" t="str">
        <f>"98,1795"</f>
        <v>98,1795</v>
      </c>
      <c r="M144" s="35" t="s">
        <v>1670</v>
      </c>
    </row>
    <row r="145" spans="1:13" ht="12.75">
      <c r="A145" s="35" t="s">
        <v>1671</v>
      </c>
      <c r="B145" s="35" t="s">
        <v>1672</v>
      </c>
      <c r="C145" s="35" t="s">
        <v>1673</v>
      </c>
      <c r="D145" s="35" t="str">
        <f>"0,5216"</f>
        <v>0,5216</v>
      </c>
      <c r="E145" s="35" t="s">
        <v>182</v>
      </c>
      <c r="F145" s="35" t="s">
        <v>183</v>
      </c>
      <c r="G145" s="35" t="s">
        <v>139</v>
      </c>
      <c r="H145" s="35" t="s">
        <v>123</v>
      </c>
      <c r="I145" s="36" t="s">
        <v>124</v>
      </c>
      <c r="J145" s="36"/>
      <c r="K145" s="35">
        <v>180</v>
      </c>
      <c r="L145" s="35" t="str">
        <f>"93,8880"</f>
        <v>93,8880</v>
      </c>
      <c r="M145" s="35" t="s">
        <v>1674</v>
      </c>
    </row>
    <row r="146" spans="1:13" ht="12.75">
      <c r="A146" s="35" t="s">
        <v>1675</v>
      </c>
      <c r="B146" s="35" t="s">
        <v>1676</v>
      </c>
      <c r="C146" s="35" t="s">
        <v>1677</v>
      </c>
      <c r="D146" s="35" t="str">
        <f>"0,5323"</f>
        <v>0,5323</v>
      </c>
      <c r="E146" s="35" t="s">
        <v>105</v>
      </c>
      <c r="F146" s="35" t="s">
        <v>106</v>
      </c>
      <c r="G146" s="35" t="s">
        <v>150</v>
      </c>
      <c r="H146" s="36" t="s">
        <v>709</v>
      </c>
      <c r="I146" s="36" t="s">
        <v>709</v>
      </c>
      <c r="J146" s="36"/>
      <c r="K146" s="35">
        <v>175</v>
      </c>
      <c r="L146" s="35" t="str">
        <f>"93,1525"</f>
        <v>93,1525</v>
      </c>
      <c r="M146" s="35" t="s">
        <v>49</v>
      </c>
    </row>
    <row r="147" spans="1:13" ht="12.75">
      <c r="A147" s="35" t="s">
        <v>1678</v>
      </c>
      <c r="B147" s="35" t="s">
        <v>1679</v>
      </c>
      <c r="C147" s="35" t="s">
        <v>1680</v>
      </c>
      <c r="D147" s="35" t="str">
        <f>"0,5258"</f>
        <v>0,5258</v>
      </c>
      <c r="E147" s="35" t="s">
        <v>26</v>
      </c>
      <c r="F147" s="35" t="s">
        <v>27</v>
      </c>
      <c r="G147" s="35" t="s">
        <v>433</v>
      </c>
      <c r="H147" s="35" t="s">
        <v>139</v>
      </c>
      <c r="I147" s="36" t="s">
        <v>150</v>
      </c>
      <c r="J147" s="36"/>
      <c r="K147" s="35">
        <v>170</v>
      </c>
      <c r="L147" s="35" t="str">
        <f>"89,3860"</f>
        <v>89,3860</v>
      </c>
      <c r="M147" s="35" t="s">
        <v>173</v>
      </c>
    </row>
    <row r="148" spans="1:13" ht="12.75">
      <c r="A148" s="35" t="s">
        <v>1663</v>
      </c>
      <c r="B148" s="35" t="s">
        <v>1681</v>
      </c>
      <c r="C148" s="35" t="s">
        <v>1665</v>
      </c>
      <c r="D148" s="35" t="str">
        <f>"0,5241"</f>
        <v>0,5241</v>
      </c>
      <c r="E148" s="35" t="s">
        <v>61</v>
      </c>
      <c r="F148" s="35" t="s">
        <v>46</v>
      </c>
      <c r="G148" s="35" t="s">
        <v>218</v>
      </c>
      <c r="H148" s="35" t="s">
        <v>231</v>
      </c>
      <c r="I148" s="35" t="s">
        <v>198</v>
      </c>
      <c r="J148" s="36"/>
      <c r="K148" s="35">
        <v>215</v>
      </c>
      <c r="L148" s="35" t="str">
        <f>"113,6956"</f>
        <v>113,6956</v>
      </c>
      <c r="M148" s="35" t="s">
        <v>1666</v>
      </c>
    </row>
    <row r="149" spans="1:13" ht="12.75">
      <c r="A149" s="35" t="s">
        <v>1682</v>
      </c>
      <c r="B149" s="35" t="s">
        <v>1683</v>
      </c>
      <c r="C149" s="35" t="s">
        <v>1684</v>
      </c>
      <c r="D149" s="35" t="str">
        <f>"0,5226"</f>
        <v>0,5226</v>
      </c>
      <c r="E149" s="35" t="s">
        <v>61</v>
      </c>
      <c r="F149" s="35" t="s">
        <v>46</v>
      </c>
      <c r="G149" s="35" t="s">
        <v>826</v>
      </c>
      <c r="H149" s="35" t="s">
        <v>123</v>
      </c>
      <c r="I149" s="35" t="s">
        <v>146</v>
      </c>
      <c r="J149" s="36"/>
      <c r="K149" s="35">
        <v>185</v>
      </c>
      <c r="L149" s="35" t="str">
        <f>"107,9927"</f>
        <v>107,9927</v>
      </c>
      <c r="M149" s="35" t="s">
        <v>1666</v>
      </c>
    </row>
    <row r="150" spans="1:13" ht="12.75">
      <c r="A150" s="37" t="s">
        <v>1685</v>
      </c>
      <c r="B150" s="37" t="s">
        <v>1686</v>
      </c>
      <c r="C150" s="37" t="s">
        <v>1687</v>
      </c>
      <c r="D150" s="37" t="str">
        <f>"0,5256"</f>
        <v>0,5256</v>
      </c>
      <c r="E150" s="37" t="s">
        <v>26</v>
      </c>
      <c r="F150" s="37" t="s">
        <v>27</v>
      </c>
      <c r="G150" s="37" t="s">
        <v>876</v>
      </c>
      <c r="H150" s="37" t="s">
        <v>139</v>
      </c>
      <c r="I150" s="38" t="s">
        <v>150</v>
      </c>
      <c r="J150" s="38"/>
      <c r="K150" s="37">
        <v>170</v>
      </c>
      <c r="L150" s="37" t="str">
        <f>"95,5173"</f>
        <v>95,5173</v>
      </c>
      <c r="M150" s="37" t="s">
        <v>49</v>
      </c>
    </row>
    <row r="152" spans="1:12" ht="15">
      <c r="A152" s="62" t="s">
        <v>268</v>
      </c>
      <c r="B152" s="62"/>
      <c r="C152" s="62"/>
      <c r="D152" s="62"/>
      <c r="E152" s="62"/>
      <c r="F152" s="62"/>
      <c r="G152" s="62"/>
      <c r="H152" s="62"/>
      <c r="I152" s="62"/>
      <c r="J152" s="62"/>
      <c r="K152" s="62"/>
      <c r="L152" s="62"/>
    </row>
    <row r="153" spans="1:13" ht="12.75">
      <c r="A153" s="33" t="s">
        <v>1688</v>
      </c>
      <c r="B153" s="33" t="s">
        <v>1689</v>
      </c>
      <c r="C153" s="33" t="s">
        <v>1690</v>
      </c>
      <c r="D153" s="33" t="str">
        <f>"0,5152"</f>
        <v>0,5152</v>
      </c>
      <c r="E153" s="33" t="s">
        <v>97</v>
      </c>
      <c r="F153" s="33" t="s">
        <v>98</v>
      </c>
      <c r="G153" s="33" t="s">
        <v>123</v>
      </c>
      <c r="H153" s="33" t="s">
        <v>124</v>
      </c>
      <c r="I153" s="34" t="s">
        <v>218</v>
      </c>
      <c r="J153" s="34"/>
      <c r="K153" s="33">
        <v>190</v>
      </c>
      <c r="L153" s="33" t="str">
        <f>"97,8956"</f>
        <v>97,8956</v>
      </c>
      <c r="M153" s="33" t="s">
        <v>49</v>
      </c>
    </row>
    <row r="154" spans="1:13" ht="12.75">
      <c r="A154" s="35" t="s">
        <v>269</v>
      </c>
      <c r="B154" s="35" t="s">
        <v>270</v>
      </c>
      <c r="C154" s="35" t="s">
        <v>271</v>
      </c>
      <c r="D154" s="35" t="str">
        <f>"0,5071"</f>
        <v>0,5071</v>
      </c>
      <c r="E154" s="35" t="s">
        <v>1034</v>
      </c>
      <c r="F154" s="35" t="s">
        <v>273</v>
      </c>
      <c r="G154" s="35" t="s">
        <v>438</v>
      </c>
      <c r="H154" s="35" t="s">
        <v>274</v>
      </c>
      <c r="I154" s="36" t="s">
        <v>239</v>
      </c>
      <c r="J154" s="36"/>
      <c r="K154" s="35">
        <v>155</v>
      </c>
      <c r="L154" s="35" t="str">
        <f>"78,6052"</f>
        <v>78,6052</v>
      </c>
      <c r="M154" s="35" t="s">
        <v>277</v>
      </c>
    </row>
    <row r="155" spans="1:13" ht="12.75">
      <c r="A155" s="35" t="s">
        <v>269</v>
      </c>
      <c r="B155" s="35" t="s">
        <v>270</v>
      </c>
      <c r="C155" s="35" t="s">
        <v>271</v>
      </c>
      <c r="D155" s="35" t="str">
        <f>"0,5071"</f>
        <v>0,5071</v>
      </c>
      <c r="E155" s="35" t="s">
        <v>272</v>
      </c>
      <c r="F155" s="35" t="s">
        <v>273</v>
      </c>
      <c r="G155" s="36" t="s">
        <v>63</v>
      </c>
      <c r="H155" s="36"/>
      <c r="I155" s="36"/>
      <c r="J155" s="36"/>
      <c r="K155" s="35">
        <v>0</v>
      </c>
      <c r="L155" s="35" t="str">
        <f>"0,0000"</f>
        <v>0,0000</v>
      </c>
      <c r="M155" s="35" t="s">
        <v>277</v>
      </c>
    </row>
    <row r="156" spans="1:13" ht="12.75">
      <c r="A156" s="35" t="s">
        <v>1688</v>
      </c>
      <c r="B156" s="35" t="s">
        <v>1691</v>
      </c>
      <c r="C156" s="35" t="s">
        <v>1690</v>
      </c>
      <c r="D156" s="35" t="str">
        <f>"0,5152"</f>
        <v>0,5152</v>
      </c>
      <c r="E156" s="35" t="s">
        <v>97</v>
      </c>
      <c r="F156" s="35" t="s">
        <v>98</v>
      </c>
      <c r="G156" s="35" t="s">
        <v>123</v>
      </c>
      <c r="H156" s="35" t="s">
        <v>124</v>
      </c>
      <c r="I156" s="36" t="s">
        <v>218</v>
      </c>
      <c r="J156" s="36"/>
      <c r="K156" s="35">
        <v>190</v>
      </c>
      <c r="L156" s="35" t="str">
        <f>"98,7767"</f>
        <v>98,7767</v>
      </c>
      <c r="M156" s="35" t="s">
        <v>49</v>
      </c>
    </row>
    <row r="157" spans="1:13" ht="12.75">
      <c r="A157" s="35" t="s">
        <v>1692</v>
      </c>
      <c r="B157" s="35" t="s">
        <v>1693</v>
      </c>
      <c r="C157" s="35" t="s">
        <v>1694</v>
      </c>
      <c r="D157" s="35" t="str">
        <f>"0,5128"</f>
        <v>0,5128</v>
      </c>
      <c r="E157" s="35" t="s">
        <v>26</v>
      </c>
      <c r="F157" s="35" t="s">
        <v>27</v>
      </c>
      <c r="G157" s="35" t="s">
        <v>438</v>
      </c>
      <c r="H157" s="35" t="s">
        <v>239</v>
      </c>
      <c r="I157" s="35" t="s">
        <v>433</v>
      </c>
      <c r="J157" s="36"/>
      <c r="K157" s="35">
        <v>160</v>
      </c>
      <c r="L157" s="35" t="str">
        <f>"82,0544"</f>
        <v>82,0544</v>
      </c>
      <c r="M157" s="35" t="s">
        <v>1695</v>
      </c>
    </row>
    <row r="158" spans="1:13" ht="12.75">
      <c r="A158" s="37" t="s">
        <v>269</v>
      </c>
      <c r="B158" s="37" t="s">
        <v>278</v>
      </c>
      <c r="C158" s="37" t="s">
        <v>271</v>
      </c>
      <c r="D158" s="37" t="str">
        <f>"0,5071"</f>
        <v>0,5071</v>
      </c>
      <c r="E158" s="37" t="s">
        <v>1034</v>
      </c>
      <c r="F158" s="37" t="s">
        <v>273</v>
      </c>
      <c r="G158" s="37" t="s">
        <v>438</v>
      </c>
      <c r="H158" s="37" t="s">
        <v>274</v>
      </c>
      <c r="I158" s="38" t="s">
        <v>239</v>
      </c>
      <c r="J158" s="38"/>
      <c r="K158" s="37">
        <v>155</v>
      </c>
      <c r="L158" s="37" t="str">
        <f>"150,9219"</f>
        <v>150,9219</v>
      </c>
      <c r="M158" s="37" t="s">
        <v>277</v>
      </c>
    </row>
    <row r="160" spans="1:12" ht="15">
      <c r="A160" s="62" t="s">
        <v>925</v>
      </c>
      <c r="B160" s="62"/>
      <c r="C160" s="62"/>
      <c r="D160" s="62"/>
      <c r="E160" s="62"/>
      <c r="F160" s="62"/>
      <c r="G160" s="62"/>
      <c r="H160" s="62"/>
      <c r="I160" s="62"/>
      <c r="J160" s="62"/>
      <c r="K160" s="62"/>
      <c r="L160" s="62"/>
    </row>
    <row r="161" spans="1:13" ht="12.75">
      <c r="A161" s="33" t="s">
        <v>1696</v>
      </c>
      <c r="B161" s="33" t="s">
        <v>1697</v>
      </c>
      <c r="C161" s="33" t="s">
        <v>1698</v>
      </c>
      <c r="D161" s="33" t="str">
        <f>"0,4922"</f>
        <v>0,4922</v>
      </c>
      <c r="E161" s="33" t="s">
        <v>26</v>
      </c>
      <c r="F161" s="33" t="s">
        <v>27</v>
      </c>
      <c r="G161" s="33" t="s">
        <v>55</v>
      </c>
      <c r="H161" s="33" t="s">
        <v>438</v>
      </c>
      <c r="I161" s="34" t="s">
        <v>274</v>
      </c>
      <c r="J161" s="34"/>
      <c r="K161" s="33">
        <v>150</v>
      </c>
      <c r="L161" s="33" t="str">
        <f>"73,8300"</f>
        <v>73,8300</v>
      </c>
      <c r="M161" s="33" t="s">
        <v>234</v>
      </c>
    </row>
    <row r="162" spans="1:13" ht="12.75">
      <c r="A162" s="35" t="s">
        <v>1696</v>
      </c>
      <c r="B162" s="35" t="s">
        <v>1697</v>
      </c>
      <c r="C162" s="35" t="s">
        <v>1698</v>
      </c>
      <c r="D162" s="35" t="str">
        <f>"0,4922"</f>
        <v>0,4922</v>
      </c>
      <c r="E162" s="35" t="s">
        <v>26</v>
      </c>
      <c r="F162" s="35" t="s">
        <v>27</v>
      </c>
      <c r="G162" s="36" t="s">
        <v>55</v>
      </c>
      <c r="H162" s="36"/>
      <c r="I162" s="36"/>
      <c r="J162" s="36"/>
      <c r="K162" s="35">
        <v>0</v>
      </c>
      <c r="L162" s="35" t="str">
        <f>"0,0000"</f>
        <v>0,0000</v>
      </c>
      <c r="M162" s="35" t="s">
        <v>234</v>
      </c>
    </row>
    <row r="163" spans="1:13" ht="12.75">
      <c r="A163" s="35" t="s">
        <v>1699</v>
      </c>
      <c r="B163" s="35" t="s">
        <v>1700</v>
      </c>
      <c r="C163" s="35" t="s">
        <v>1701</v>
      </c>
      <c r="D163" s="35" t="str">
        <f>"0,5014"</f>
        <v>0,5014</v>
      </c>
      <c r="E163" s="35" t="s">
        <v>26</v>
      </c>
      <c r="F163" s="35" t="s">
        <v>27</v>
      </c>
      <c r="G163" s="35" t="s">
        <v>150</v>
      </c>
      <c r="H163" s="35" t="s">
        <v>709</v>
      </c>
      <c r="I163" s="35" t="s">
        <v>156</v>
      </c>
      <c r="J163" s="36"/>
      <c r="K163" s="35">
        <v>187.5</v>
      </c>
      <c r="L163" s="35" t="str">
        <f>"110,2789"</f>
        <v>110,2789</v>
      </c>
      <c r="M163" s="35" t="s">
        <v>715</v>
      </c>
    </row>
    <row r="164" spans="1:13" ht="12.75">
      <c r="A164" s="35" t="s">
        <v>1696</v>
      </c>
      <c r="B164" s="35" t="s">
        <v>1702</v>
      </c>
      <c r="C164" s="35" t="s">
        <v>1698</v>
      </c>
      <c r="D164" s="35" t="str">
        <f>"0,4922"</f>
        <v>0,4922</v>
      </c>
      <c r="E164" s="35" t="s">
        <v>26</v>
      </c>
      <c r="F164" s="35" t="s">
        <v>27</v>
      </c>
      <c r="G164" s="35" t="s">
        <v>55</v>
      </c>
      <c r="H164" s="35" t="s">
        <v>438</v>
      </c>
      <c r="I164" s="36" t="s">
        <v>274</v>
      </c>
      <c r="J164" s="36"/>
      <c r="K164" s="35">
        <v>150</v>
      </c>
      <c r="L164" s="35" t="str">
        <f>"105,5769"</f>
        <v>105,5769</v>
      </c>
      <c r="M164" s="35" t="s">
        <v>234</v>
      </c>
    </row>
    <row r="165" spans="1:13" ht="12.75">
      <c r="A165" s="37" t="s">
        <v>1696</v>
      </c>
      <c r="B165" s="37" t="s">
        <v>1702</v>
      </c>
      <c r="C165" s="37" t="s">
        <v>1698</v>
      </c>
      <c r="D165" s="37" t="str">
        <f>"0,4922"</f>
        <v>0,4922</v>
      </c>
      <c r="E165" s="37" t="s">
        <v>26</v>
      </c>
      <c r="F165" s="37" t="s">
        <v>27</v>
      </c>
      <c r="G165" s="38" t="s">
        <v>55</v>
      </c>
      <c r="H165" s="38"/>
      <c r="I165" s="38"/>
      <c r="J165" s="38"/>
      <c r="K165" s="37">
        <v>0</v>
      </c>
      <c r="L165" s="37" t="str">
        <f>"0,0000"</f>
        <v>0,0000</v>
      </c>
      <c r="M165" s="37" t="s">
        <v>234</v>
      </c>
    </row>
    <row r="167" spans="5:6" ht="15">
      <c r="E167" s="39" t="s">
        <v>279</v>
      </c>
      <c r="F167" s="41" t="s">
        <v>1935</v>
      </c>
    </row>
    <row r="168" spans="5:6" ht="15">
      <c r="E168" s="39" t="s">
        <v>1940</v>
      </c>
      <c r="F168" s="41" t="s">
        <v>1941</v>
      </c>
    </row>
    <row r="169" spans="5:6" ht="15">
      <c r="E169" s="39" t="s">
        <v>280</v>
      </c>
      <c r="F169" s="41" t="s">
        <v>1936</v>
      </c>
    </row>
    <row r="170" spans="5:6" ht="15">
      <c r="E170" s="39" t="s">
        <v>281</v>
      </c>
      <c r="F170" s="41" t="s">
        <v>1939</v>
      </c>
    </row>
    <row r="171" spans="5:6" ht="15">
      <c r="E171" s="39" t="s">
        <v>282</v>
      </c>
      <c r="F171" s="41" t="s">
        <v>1943</v>
      </c>
    </row>
    <row r="172" spans="5:6" ht="15">
      <c r="E172" s="39" t="s">
        <v>282</v>
      </c>
      <c r="F172" s="41" t="s">
        <v>1944</v>
      </c>
    </row>
    <row r="173" spans="5:6" ht="15">
      <c r="E173" s="39" t="s">
        <v>283</v>
      </c>
      <c r="F173" s="41" t="s">
        <v>1942</v>
      </c>
    </row>
    <row r="174" spans="5:6" ht="15">
      <c r="E174" s="39" t="s">
        <v>1937</v>
      </c>
      <c r="F174" s="41" t="s">
        <v>1938</v>
      </c>
    </row>
    <row r="175" spans="1:2" ht="18">
      <c r="A175" s="40" t="s">
        <v>284</v>
      </c>
      <c r="B175" s="40"/>
    </row>
    <row r="176" spans="1:2" ht="15">
      <c r="A176" s="42" t="s">
        <v>285</v>
      </c>
      <c r="B176" s="42"/>
    </row>
    <row r="177" spans="1:2" ht="14.25">
      <c r="A177" s="44"/>
      <c r="B177" s="45" t="s">
        <v>286</v>
      </c>
    </row>
    <row r="178" spans="1:5" ht="15">
      <c r="A178" s="46" t="s">
        <v>287</v>
      </c>
      <c r="B178" s="46" t="s">
        <v>288</v>
      </c>
      <c r="C178" s="46" t="s">
        <v>289</v>
      </c>
      <c r="D178" s="46" t="s">
        <v>290</v>
      </c>
      <c r="E178" s="46" t="s">
        <v>291</v>
      </c>
    </row>
    <row r="179" spans="1:5" ht="12.75">
      <c r="A179" s="43" t="s">
        <v>1337</v>
      </c>
      <c r="B179" s="30" t="s">
        <v>292</v>
      </c>
      <c r="C179" s="30" t="s">
        <v>293</v>
      </c>
      <c r="D179" s="30" t="s">
        <v>392</v>
      </c>
      <c r="E179" s="47" t="s">
        <v>1703</v>
      </c>
    </row>
    <row r="181" spans="1:2" ht="14.25">
      <c r="A181" s="44"/>
      <c r="B181" s="45" t="s">
        <v>297</v>
      </c>
    </row>
    <row r="182" spans="1:5" ht="15">
      <c r="A182" s="46" t="s">
        <v>287</v>
      </c>
      <c r="B182" s="46" t="s">
        <v>288</v>
      </c>
      <c r="C182" s="46" t="s">
        <v>289</v>
      </c>
      <c r="D182" s="46" t="s">
        <v>290</v>
      </c>
      <c r="E182" s="46" t="s">
        <v>291</v>
      </c>
    </row>
    <row r="183" spans="1:5" ht="12.75">
      <c r="A183" s="43" t="s">
        <v>1078</v>
      </c>
      <c r="B183" s="30" t="s">
        <v>298</v>
      </c>
      <c r="C183" s="30" t="s">
        <v>318</v>
      </c>
      <c r="D183" s="30" t="s">
        <v>421</v>
      </c>
      <c r="E183" s="47" t="s">
        <v>1704</v>
      </c>
    </row>
    <row r="185" spans="1:2" ht="14.25">
      <c r="A185" s="44"/>
      <c r="B185" s="45" t="s">
        <v>301</v>
      </c>
    </row>
    <row r="186" spans="1:5" ht="15">
      <c r="A186" s="46" t="s">
        <v>287</v>
      </c>
      <c r="B186" s="46" t="s">
        <v>288</v>
      </c>
      <c r="C186" s="46" t="s">
        <v>289</v>
      </c>
      <c r="D186" s="46" t="s">
        <v>290</v>
      </c>
      <c r="E186" s="46" t="s">
        <v>291</v>
      </c>
    </row>
    <row r="187" spans="1:5" ht="12.75">
      <c r="A187" s="43" t="s">
        <v>1352</v>
      </c>
      <c r="B187" s="30" t="s">
        <v>301</v>
      </c>
      <c r="C187" s="30" t="s">
        <v>306</v>
      </c>
      <c r="D187" s="30" t="s">
        <v>28</v>
      </c>
      <c r="E187" s="47" t="s">
        <v>1705</v>
      </c>
    </row>
    <row r="188" spans="1:5" ht="12.75">
      <c r="A188" s="43" t="s">
        <v>1355</v>
      </c>
      <c r="B188" s="30" t="s">
        <v>301</v>
      </c>
      <c r="C188" s="30" t="s">
        <v>306</v>
      </c>
      <c r="D188" s="30" t="s">
        <v>421</v>
      </c>
      <c r="E188" s="47" t="s">
        <v>1706</v>
      </c>
    </row>
    <row r="189" spans="1:5" ht="12.75">
      <c r="A189" s="43" t="s">
        <v>1358</v>
      </c>
      <c r="B189" s="30" t="s">
        <v>301</v>
      </c>
      <c r="C189" s="30" t="s">
        <v>309</v>
      </c>
      <c r="D189" s="30" t="s">
        <v>421</v>
      </c>
      <c r="E189" s="47" t="s">
        <v>1707</v>
      </c>
    </row>
    <row r="190" spans="1:5" ht="12.75">
      <c r="A190" s="43" t="s">
        <v>1346</v>
      </c>
      <c r="B190" s="30" t="s">
        <v>301</v>
      </c>
      <c r="C190" s="30" t="s">
        <v>302</v>
      </c>
      <c r="D190" s="30" t="s">
        <v>390</v>
      </c>
      <c r="E190" s="47" t="s">
        <v>1708</v>
      </c>
    </row>
    <row r="191" spans="1:5" ht="12.75">
      <c r="A191" s="43" t="s">
        <v>1350</v>
      </c>
      <c r="B191" s="30" t="s">
        <v>301</v>
      </c>
      <c r="C191" s="30" t="s">
        <v>295</v>
      </c>
      <c r="D191" s="30" t="s">
        <v>390</v>
      </c>
      <c r="E191" s="47" t="s">
        <v>1709</v>
      </c>
    </row>
    <row r="192" spans="1:5" ht="12.75">
      <c r="A192" s="43" t="s">
        <v>1073</v>
      </c>
      <c r="B192" s="30" t="s">
        <v>301</v>
      </c>
      <c r="C192" s="30" t="s">
        <v>313</v>
      </c>
      <c r="D192" s="30" t="s">
        <v>421</v>
      </c>
      <c r="E192" s="47" t="s">
        <v>1710</v>
      </c>
    </row>
    <row r="193" spans="1:5" ht="12.75">
      <c r="A193" s="43" t="s">
        <v>1382</v>
      </c>
      <c r="B193" s="30" t="s">
        <v>301</v>
      </c>
      <c r="C193" s="30" t="s">
        <v>318</v>
      </c>
      <c r="D193" s="30" t="s">
        <v>409</v>
      </c>
      <c r="E193" s="47" t="s">
        <v>1711</v>
      </c>
    </row>
    <row r="194" spans="1:5" ht="12.75">
      <c r="A194" s="43" t="s">
        <v>1363</v>
      </c>
      <c r="B194" s="30" t="s">
        <v>301</v>
      </c>
      <c r="C194" s="30" t="s">
        <v>309</v>
      </c>
      <c r="D194" s="30" t="s">
        <v>407</v>
      </c>
      <c r="E194" s="47" t="s">
        <v>1712</v>
      </c>
    </row>
    <row r="195" spans="1:5" ht="12.75">
      <c r="A195" s="43" t="s">
        <v>1367</v>
      </c>
      <c r="B195" s="30" t="s">
        <v>301</v>
      </c>
      <c r="C195" s="30" t="s">
        <v>309</v>
      </c>
      <c r="D195" s="30" t="s">
        <v>407</v>
      </c>
      <c r="E195" s="47" t="s">
        <v>1713</v>
      </c>
    </row>
    <row r="197" spans="1:2" ht="14.25">
      <c r="A197" s="44"/>
      <c r="B197" s="45" t="s">
        <v>340</v>
      </c>
    </row>
    <row r="198" spans="1:5" ht="15">
      <c r="A198" s="46" t="s">
        <v>287</v>
      </c>
      <c r="B198" s="46" t="s">
        <v>288</v>
      </c>
      <c r="C198" s="46" t="s">
        <v>289</v>
      </c>
      <c r="D198" s="46" t="s">
        <v>290</v>
      </c>
      <c r="E198" s="46" t="s">
        <v>291</v>
      </c>
    </row>
    <row r="199" spans="1:5" ht="12.75">
      <c r="A199" s="43" t="s">
        <v>1373</v>
      </c>
      <c r="B199" s="30" t="s">
        <v>348</v>
      </c>
      <c r="C199" s="30" t="s">
        <v>309</v>
      </c>
      <c r="D199" s="30" t="s">
        <v>394</v>
      </c>
      <c r="E199" s="47" t="s">
        <v>1714</v>
      </c>
    </row>
    <row r="200" spans="1:5" ht="12.75">
      <c r="A200" s="43" t="s">
        <v>1343</v>
      </c>
      <c r="B200" s="30" t="s">
        <v>348</v>
      </c>
      <c r="C200" s="30" t="s">
        <v>293</v>
      </c>
      <c r="D200" s="30" t="s">
        <v>407</v>
      </c>
      <c r="E200" s="47" t="s">
        <v>1715</v>
      </c>
    </row>
    <row r="201" spans="1:5" ht="12.75">
      <c r="A201" s="43" t="s">
        <v>1378</v>
      </c>
      <c r="B201" s="30" t="s">
        <v>350</v>
      </c>
      <c r="C201" s="30" t="s">
        <v>313</v>
      </c>
      <c r="D201" s="30" t="s">
        <v>400</v>
      </c>
      <c r="E201" s="47" t="s">
        <v>1716</v>
      </c>
    </row>
    <row r="204" spans="1:2" ht="15">
      <c r="A204" s="42" t="s">
        <v>312</v>
      </c>
      <c r="B204" s="42"/>
    </row>
    <row r="205" spans="1:2" ht="14.25">
      <c r="A205" s="44"/>
      <c r="B205" s="45" t="s">
        <v>286</v>
      </c>
    </row>
    <row r="206" spans="1:5" ht="15">
      <c r="A206" s="46" t="s">
        <v>287</v>
      </c>
      <c r="B206" s="46" t="s">
        <v>288</v>
      </c>
      <c r="C206" s="46" t="s">
        <v>289</v>
      </c>
      <c r="D206" s="46" t="s">
        <v>290</v>
      </c>
      <c r="E206" s="46" t="s">
        <v>291</v>
      </c>
    </row>
    <row r="207" spans="1:5" ht="12.75">
      <c r="A207" s="43" t="s">
        <v>1524</v>
      </c>
      <c r="B207" s="30" t="s">
        <v>479</v>
      </c>
      <c r="C207" s="30" t="s">
        <v>323</v>
      </c>
      <c r="D207" s="30" t="s">
        <v>146</v>
      </c>
      <c r="E207" s="47" t="s">
        <v>1717</v>
      </c>
    </row>
    <row r="208" spans="1:5" ht="12.75">
      <c r="A208" s="43" t="s">
        <v>1520</v>
      </c>
      <c r="B208" s="30" t="s">
        <v>292</v>
      </c>
      <c r="C208" s="30" t="s">
        <v>323</v>
      </c>
      <c r="D208" s="30" t="s">
        <v>63</v>
      </c>
      <c r="E208" s="47" t="s">
        <v>1718</v>
      </c>
    </row>
    <row r="209" spans="1:5" ht="12.75">
      <c r="A209" s="43" t="s">
        <v>1448</v>
      </c>
      <c r="B209" s="30" t="s">
        <v>479</v>
      </c>
      <c r="C209" s="30" t="s">
        <v>318</v>
      </c>
      <c r="D209" s="30" t="s">
        <v>872</v>
      </c>
      <c r="E209" s="47" t="s">
        <v>1719</v>
      </c>
    </row>
    <row r="210" spans="1:5" ht="12.75">
      <c r="A210" s="43" t="s">
        <v>1450</v>
      </c>
      <c r="B210" s="30" t="s">
        <v>479</v>
      </c>
      <c r="C210" s="30" t="s">
        <v>318</v>
      </c>
      <c r="D210" s="30" t="s">
        <v>872</v>
      </c>
      <c r="E210" s="47" t="s">
        <v>1720</v>
      </c>
    </row>
    <row r="211" spans="1:5" ht="12.75">
      <c r="A211" s="43" t="s">
        <v>1405</v>
      </c>
      <c r="B211" s="30" t="s">
        <v>292</v>
      </c>
      <c r="C211" s="30" t="s">
        <v>313</v>
      </c>
      <c r="D211" s="30" t="s">
        <v>39</v>
      </c>
      <c r="E211" s="47" t="s">
        <v>1721</v>
      </c>
    </row>
    <row r="212" spans="1:5" ht="12.75">
      <c r="A212" s="43" t="s">
        <v>1453</v>
      </c>
      <c r="B212" s="30" t="s">
        <v>479</v>
      </c>
      <c r="C212" s="30" t="s">
        <v>318</v>
      </c>
      <c r="D212" s="30" t="s">
        <v>63</v>
      </c>
      <c r="E212" s="47" t="s">
        <v>1722</v>
      </c>
    </row>
    <row r="213" spans="1:5" ht="12.75">
      <c r="A213" s="43" t="s">
        <v>1574</v>
      </c>
      <c r="B213" s="30" t="s">
        <v>292</v>
      </c>
      <c r="C213" s="30" t="s">
        <v>315</v>
      </c>
      <c r="D213" s="30" t="s">
        <v>62</v>
      </c>
      <c r="E213" s="47" t="s">
        <v>1723</v>
      </c>
    </row>
    <row r="214" spans="1:5" ht="12.75">
      <c r="A214" s="43" t="s">
        <v>1385</v>
      </c>
      <c r="B214" s="30" t="s">
        <v>292</v>
      </c>
      <c r="C214" s="30" t="s">
        <v>295</v>
      </c>
      <c r="D214" s="30" t="s">
        <v>453</v>
      </c>
      <c r="E214" s="47" t="s">
        <v>1724</v>
      </c>
    </row>
    <row r="215" spans="1:5" ht="12.75">
      <c r="A215" s="43" t="s">
        <v>1408</v>
      </c>
      <c r="B215" s="30" t="s">
        <v>292</v>
      </c>
      <c r="C215" s="30" t="s">
        <v>313</v>
      </c>
      <c r="D215" s="30" t="s">
        <v>28</v>
      </c>
      <c r="E215" s="47" t="s">
        <v>1725</v>
      </c>
    </row>
    <row r="216" spans="1:5" ht="12.75">
      <c r="A216" s="43" t="s">
        <v>1413</v>
      </c>
      <c r="B216" s="30" t="s">
        <v>292</v>
      </c>
      <c r="C216" s="30" t="s">
        <v>313</v>
      </c>
      <c r="D216" s="30" t="s">
        <v>20</v>
      </c>
      <c r="E216" s="47" t="s">
        <v>1726</v>
      </c>
    </row>
    <row r="218" spans="1:2" ht="14.25">
      <c r="A218" s="44"/>
      <c r="B218" s="45" t="s">
        <v>297</v>
      </c>
    </row>
    <row r="219" spans="1:5" ht="15">
      <c r="A219" s="46" t="s">
        <v>287</v>
      </c>
      <c r="B219" s="46" t="s">
        <v>288</v>
      </c>
      <c r="C219" s="46" t="s">
        <v>289</v>
      </c>
      <c r="D219" s="46" t="s">
        <v>290</v>
      </c>
      <c r="E219" s="46" t="s">
        <v>291</v>
      </c>
    </row>
    <row r="220" spans="1:5" ht="12.75">
      <c r="A220" s="43" t="s">
        <v>1388</v>
      </c>
      <c r="B220" s="30" t="s">
        <v>298</v>
      </c>
      <c r="C220" s="30" t="s">
        <v>295</v>
      </c>
      <c r="D220" s="30" t="s">
        <v>62</v>
      </c>
      <c r="E220" s="47" t="s">
        <v>1727</v>
      </c>
    </row>
    <row r="221" spans="1:5" ht="12.75">
      <c r="A221" s="43" t="s">
        <v>1415</v>
      </c>
      <c r="B221" s="30" t="s">
        <v>298</v>
      </c>
      <c r="C221" s="30" t="s">
        <v>313</v>
      </c>
      <c r="D221" s="30" t="s">
        <v>63</v>
      </c>
      <c r="E221" s="47" t="s">
        <v>1728</v>
      </c>
    </row>
    <row r="222" spans="1:5" ht="12.75">
      <c r="A222" s="43" t="s">
        <v>1577</v>
      </c>
      <c r="B222" s="30" t="s">
        <v>298</v>
      </c>
      <c r="C222" s="30" t="s">
        <v>315</v>
      </c>
      <c r="D222" s="30" t="s">
        <v>826</v>
      </c>
      <c r="E222" s="47" t="s">
        <v>1729</v>
      </c>
    </row>
    <row r="223" spans="1:5" ht="12.75">
      <c r="A223" s="43" t="s">
        <v>1655</v>
      </c>
      <c r="B223" s="30" t="s">
        <v>298</v>
      </c>
      <c r="C223" s="30" t="s">
        <v>330</v>
      </c>
      <c r="D223" s="30" t="s">
        <v>709</v>
      </c>
      <c r="E223" s="47" t="s">
        <v>1730</v>
      </c>
    </row>
    <row r="224" spans="1:5" ht="12.75">
      <c r="A224" s="43" t="s">
        <v>1527</v>
      </c>
      <c r="B224" s="30" t="s">
        <v>298</v>
      </c>
      <c r="C224" s="30" t="s">
        <v>323</v>
      </c>
      <c r="D224" s="30" t="s">
        <v>274</v>
      </c>
      <c r="E224" s="47" t="s">
        <v>1731</v>
      </c>
    </row>
    <row r="225" spans="1:5" ht="12.75">
      <c r="A225" s="43" t="s">
        <v>1659</v>
      </c>
      <c r="B225" s="30" t="s">
        <v>298</v>
      </c>
      <c r="C225" s="30" t="s">
        <v>330</v>
      </c>
      <c r="D225" s="30" t="s">
        <v>826</v>
      </c>
      <c r="E225" s="47" t="s">
        <v>1732</v>
      </c>
    </row>
    <row r="226" spans="1:5" ht="12.75">
      <c r="A226" s="43" t="s">
        <v>1580</v>
      </c>
      <c r="B226" s="30" t="s">
        <v>298</v>
      </c>
      <c r="C226" s="30" t="s">
        <v>315</v>
      </c>
      <c r="D226" s="30" t="s">
        <v>465</v>
      </c>
      <c r="E226" s="47" t="s">
        <v>1733</v>
      </c>
    </row>
    <row r="227" spans="1:5" ht="12.75">
      <c r="A227" s="43" t="s">
        <v>1530</v>
      </c>
      <c r="B227" s="30" t="s">
        <v>298</v>
      </c>
      <c r="C227" s="30" t="s">
        <v>323</v>
      </c>
      <c r="D227" s="30" t="s">
        <v>63</v>
      </c>
      <c r="E227" s="47" t="s">
        <v>1734</v>
      </c>
    </row>
    <row r="228" spans="1:5" ht="12.75">
      <c r="A228" s="43" t="s">
        <v>1459</v>
      </c>
      <c r="B228" s="30" t="s">
        <v>298</v>
      </c>
      <c r="C228" s="30" t="s">
        <v>318</v>
      </c>
      <c r="D228" s="30" t="s">
        <v>62</v>
      </c>
      <c r="E228" s="47" t="s">
        <v>1735</v>
      </c>
    </row>
    <row r="229" spans="1:5" ht="12.75">
      <c r="A229" s="43" t="s">
        <v>1392</v>
      </c>
      <c r="B229" s="30" t="s">
        <v>298</v>
      </c>
      <c r="C229" s="30" t="s">
        <v>309</v>
      </c>
      <c r="D229" s="30" t="s">
        <v>414</v>
      </c>
      <c r="E229" s="47" t="s">
        <v>1736</v>
      </c>
    </row>
    <row r="230" spans="1:5" ht="12.75">
      <c r="A230" s="43" t="s">
        <v>1395</v>
      </c>
      <c r="B230" s="30" t="s">
        <v>298</v>
      </c>
      <c r="C230" s="30" t="s">
        <v>309</v>
      </c>
      <c r="D230" s="30" t="s">
        <v>20</v>
      </c>
      <c r="E230" s="47" t="s">
        <v>1737</v>
      </c>
    </row>
    <row r="231" spans="1:5" ht="12.75">
      <c r="A231" s="43" t="s">
        <v>1534</v>
      </c>
      <c r="B231" s="30" t="s">
        <v>298</v>
      </c>
      <c r="C231" s="30" t="s">
        <v>323</v>
      </c>
      <c r="D231" s="30" t="s">
        <v>28</v>
      </c>
      <c r="E231" s="47" t="s">
        <v>1738</v>
      </c>
    </row>
    <row r="233" spans="1:2" ht="14.25">
      <c r="A233" s="44"/>
      <c r="B233" s="45" t="s">
        <v>301</v>
      </c>
    </row>
    <row r="234" spans="1:5" ht="15">
      <c r="A234" s="46" t="s">
        <v>287</v>
      </c>
      <c r="B234" s="46" t="s">
        <v>288</v>
      </c>
      <c r="C234" s="46" t="s">
        <v>289</v>
      </c>
      <c r="D234" s="46" t="s">
        <v>290</v>
      </c>
      <c r="E234" s="46" t="s">
        <v>291</v>
      </c>
    </row>
    <row r="235" spans="1:5" ht="12.75">
      <c r="A235" s="43" t="s">
        <v>1398</v>
      </c>
      <c r="B235" s="30" t="s">
        <v>301</v>
      </c>
      <c r="C235" s="30" t="s">
        <v>309</v>
      </c>
      <c r="D235" s="30" t="s">
        <v>1401</v>
      </c>
      <c r="E235" s="47" t="s">
        <v>1739</v>
      </c>
    </row>
    <row r="236" spans="1:5" ht="12.75">
      <c r="A236" s="43" t="s">
        <v>1388</v>
      </c>
      <c r="B236" s="30" t="s">
        <v>301</v>
      </c>
      <c r="C236" s="30" t="s">
        <v>295</v>
      </c>
      <c r="D236" s="30" t="s">
        <v>62</v>
      </c>
      <c r="E236" s="47" t="s">
        <v>1740</v>
      </c>
    </row>
    <row r="237" spans="1:5" ht="12.75">
      <c r="A237" s="43" t="s">
        <v>1537</v>
      </c>
      <c r="B237" s="30" t="s">
        <v>301</v>
      </c>
      <c r="C237" s="30" t="s">
        <v>323</v>
      </c>
      <c r="D237" s="30" t="s">
        <v>252</v>
      </c>
      <c r="E237" s="47" t="s">
        <v>1741</v>
      </c>
    </row>
    <row r="238" spans="1:5" ht="12.75">
      <c r="A238" s="43" t="s">
        <v>1623</v>
      </c>
      <c r="B238" s="30" t="s">
        <v>301</v>
      </c>
      <c r="C238" s="30" t="s">
        <v>320</v>
      </c>
      <c r="D238" s="30" t="s">
        <v>851</v>
      </c>
      <c r="E238" s="47" t="s">
        <v>1742</v>
      </c>
    </row>
    <row r="239" spans="1:5" ht="12.75">
      <c r="A239" s="43" t="s">
        <v>1663</v>
      </c>
      <c r="B239" s="30" t="s">
        <v>301</v>
      </c>
      <c r="C239" s="30" t="s">
        <v>330</v>
      </c>
      <c r="D239" s="30" t="s">
        <v>198</v>
      </c>
      <c r="E239" s="47" t="s">
        <v>1743</v>
      </c>
    </row>
    <row r="240" spans="1:5" ht="12.75">
      <c r="A240" s="43" t="s">
        <v>1626</v>
      </c>
      <c r="B240" s="30" t="s">
        <v>301</v>
      </c>
      <c r="C240" s="30" t="s">
        <v>320</v>
      </c>
      <c r="D240" s="30" t="s">
        <v>218</v>
      </c>
      <c r="E240" s="47" t="s">
        <v>1744</v>
      </c>
    </row>
    <row r="241" spans="1:5" ht="12.75">
      <c r="A241" s="43" t="s">
        <v>1462</v>
      </c>
      <c r="B241" s="30" t="s">
        <v>301</v>
      </c>
      <c r="C241" s="30" t="s">
        <v>318</v>
      </c>
      <c r="D241" s="30" t="s">
        <v>139</v>
      </c>
      <c r="E241" s="47" t="s">
        <v>1745</v>
      </c>
    </row>
    <row r="242" spans="1:5" ht="12.75">
      <c r="A242" s="43" t="s">
        <v>1421</v>
      </c>
      <c r="B242" s="30" t="s">
        <v>301</v>
      </c>
      <c r="C242" s="30" t="s">
        <v>313</v>
      </c>
      <c r="D242" s="30" t="s">
        <v>438</v>
      </c>
      <c r="E242" s="47" t="s">
        <v>1746</v>
      </c>
    </row>
    <row r="243" spans="1:5" ht="12.75">
      <c r="A243" s="43" t="s">
        <v>1540</v>
      </c>
      <c r="B243" s="30" t="s">
        <v>301</v>
      </c>
      <c r="C243" s="30" t="s">
        <v>323</v>
      </c>
      <c r="D243" s="30" t="s">
        <v>139</v>
      </c>
      <c r="E243" s="47" t="s">
        <v>1747</v>
      </c>
    </row>
    <row r="244" spans="1:5" ht="12.75">
      <c r="A244" s="43" t="s">
        <v>1629</v>
      </c>
      <c r="B244" s="30" t="s">
        <v>301</v>
      </c>
      <c r="C244" s="30" t="s">
        <v>320</v>
      </c>
      <c r="D244" s="30" t="s">
        <v>123</v>
      </c>
      <c r="E244" s="47" t="s">
        <v>1748</v>
      </c>
    </row>
    <row r="245" spans="1:5" ht="12.75">
      <c r="A245" s="43" t="s">
        <v>1667</v>
      </c>
      <c r="B245" s="30" t="s">
        <v>301</v>
      </c>
      <c r="C245" s="30" t="s">
        <v>330</v>
      </c>
      <c r="D245" s="30" t="s">
        <v>146</v>
      </c>
      <c r="E245" s="47" t="s">
        <v>1749</v>
      </c>
    </row>
    <row r="246" spans="1:5" ht="12.75">
      <c r="A246" s="43" t="s">
        <v>1688</v>
      </c>
      <c r="B246" s="30" t="s">
        <v>301</v>
      </c>
      <c r="C246" s="30" t="s">
        <v>338</v>
      </c>
      <c r="D246" s="30" t="s">
        <v>124</v>
      </c>
      <c r="E246" s="47" t="s">
        <v>1750</v>
      </c>
    </row>
    <row r="247" spans="1:5" ht="12.75">
      <c r="A247" s="43" t="s">
        <v>1583</v>
      </c>
      <c r="B247" s="30" t="s">
        <v>301</v>
      </c>
      <c r="C247" s="30" t="s">
        <v>315</v>
      </c>
      <c r="D247" s="30" t="s">
        <v>826</v>
      </c>
      <c r="E247" s="47" t="s">
        <v>1751</v>
      </c>
    </row>
    <row r="248" spans="1:5" ht="12.75">
      <c r="A248" s="43" t="s">
        <v>1543</v>
      </c>
      <c r="B248" s="30" t="s">
        <v>301</v>
      </c>
      <c r="C248" s="30" t="s">
        <v>323</v>
      </c>
      <c r="D248" s="30" t="s">
        <v>433</v>
      </c>
      <c r="E248" s="47" t="s">
        <v>1752</v>
      </c>
    </row>
    <row r="249" spans="1:5" ht="12.75">
      <c r="A249" s="43" t="s">
        <v>1632</v>
      </c>
      <c r="B249" s="30" t="s">
        <v>301</v>
      </c>
      <c r="C249" s="30" t="s">
        <v>320</v>
      </c>
      <c r="D249" s="30" t="s">
        <v>150</v>
      </c>
      <c r="E249" s="47" t="s">
        <v>1753</v>
      </c>
    </row>
    <row r="250" spans="1:5" ht="12.75">
      <c r="A250" s="43" t="s">
        <v>1465</v>
      </c>
      <c r="B250" s="30" t="s">
        <v>301</v>
      </c>
      <c r="C250" s="30" t="s">
        <v>318</v>
      </c>
      <c r="D250" s="30" t="s">
        <v>682</v>
      </c>
      <c r="E250" s="47" t="s">
        <v>1754</v>
      </c>
    </row>
    <row r="251" spans="1:5" ht="12.75">
      <c r="A251" s="43" t="s">
        <v>1473</v>
      </c>
      <c r="B251" s="30" t="s">
        <v>301</v>
      </c>
      <c r="C251" s="30" t="s">
        <v>318</v>
      </c>
      <c r="D251" s="30" t="s">
        <v>438</v>
      </c>
      <c r="E251" s="47" t="s">
        <v>1755</v>
      </c>
    </row>
    <row r="252" spans="1:5" ht="12.75">
      <c r="A252" s="43" t="s">
        <v>1468</v>
      </c>
      <c r="B252" s="30" t="s">
        <v>301</v>
      </c>
      <c r="C252" s="30" t="s">
        <v>318</v>
      </c>
      <c r="D252" s="30" t="s">
        <v>682</v>
      </c>
      <c r="E252" s="47" t="s">
        <v>1756</v>
      </c>
    </row>
    <row r="253" spans="1:5" ht="12.75">
      <c r="A253" s="43" t="s">
        <v>1585</v>
      </c>
      <c r="B253" s="30" t="s">
        <v>301</v>
      </c>
      <c r="C253" s="30" t="s">
        <v>315</v>
      </c>
      <c r="D253" s="30" t="s">
        <v>139</v>
      </c>
      <c r="E253" s="47" t="s">
        <v>1757</v>
      </c>
    </row>
    <row r="254" spans="1:5" ht="12.75">
      <c r="A254" s="43" t="s">
        <v>1671</v>
      </c>
      <c r="B254" s="30" t="s">
        <v>301</v>
      </c>
      <c r="C254" s="30" t="s">
        <v>330</v>
      </c>
      <c r="D254" s="30" t="s">
        <v>123</v>
      </c>
      <c r="E254" s="47" t="s">
        <v>1758</v>
      </c>
    </row>
    <row r="255" spans="1:5" ht="12.75">
      <c r="A255" s="43" t="s">
        <v>1587</v>
      </c>
      <c r="B255" s="30" t="s">
        <v>301</v>
      </c>
      <c r="C255" s="30" t="s">
        <v>315</v>
      </c>
      <c r="D255" s="30" t="s">
        <v>876</v>
      </c>
      <c r="E255" s="47" t="s">
        <v>1759</v>
      </c>
    </row>
    <row r="256" spans="1:5" ht="12.75">
      <c r="A256" s="43" t="s">
        <v>1675</v>
      </c>
      <c r="B256" s="30" t="s">
        <v>301</v>
      </c>
      <c r="C256" s="30" t="s">
        <v>330</v>
      </c>
      <c r="D256" s="30" t="s">
        <v>150</v>
      </c>
      <c r="E256" s="47" t="s">
        <v>1760</v>
      </c>
    </row>
    <row r="257" spans="1:5" ht="12.75">
      <c r="A257" s="43" t="s">
        <v>1424</v>
      </c>
      <c r="B257" s="30" t="s">
        <v>301</v>
      </c>
      <c r="C257" s="30" t="s">
        <v>313</v>
      </c>
      <c r="D257" s="30" t="s">
        <v>1417</v>
      </c>
      <c r="E257" s="47" t="s">
        <v>1761</v>
      </c>
    </row>
    <row r="258" spans="1:5" ht="12.75">
      <c r="A258" s="43" t="s">
        <v>1476</v>
      </c>
      <c r="B258" s="30" t="s">
        <v>301</v>
      </c>
      <c r="C258" s="30" t="s">
        <v>318</v>
      </c>
      <c r="D258" s="30" t="s">
        <v>465</v>
      </c>
      <c r="E258" s="47" t="s">
        <v>1762</v>
      </c>
    </row>
    <row r="260" spans="1:2" ht="14.25">
      <c r="A260" s="44"/>
      <c r="B260" s="45" t="s">
        <v>340</v>
      </c>
    </row>
    <row r="261" spans="1:5" ht="15">
      <c r="A261" s="46" t="s">
        <v>287</v>
      </c>
      <c r="B261" s="46" t="s">
        <v>288</v>
      </c>
      <c r="C261" s="46" t="s">
        <v>289</v>
      </c>
      <c r="D261" s="46" t="s">
        <v>290</v>
      </c>
      <c r="E261" s="46" t="s">
        <v>291</v>
      </c>
    </row>
    <row r="262" spans="1:5" ht="12.75">
      <c r="A262" s="43" t="s">
        <v>1441</v>
      </c>
      <c r="B262" s="30" t="s">
        <v>343</v>
      </c>
      <c r="C262" s="30" t="s">
        <v>313</v>
      </c>
      <c r="D262" s="30" t="s">
        <v>552</v>
      </c>
      <c r="E262" s="47" t="s">
        <v>1763</v>
      </c>
    </row>
    <row r="263" spans="1:5" ht="12.75">
      <c r="A263" s="43" t="s">
        <v>1512</v>
      </c>
      <c r="B263" s="30" t="s">
        <v>953</v>
      </c>
      <c r="C263" s="30" t="s">
        <v>318</v>
      </c>
      <c r="D263" s="30" t="s">
        <v>62</v>
      </c>
      <c r="E263" s="47" t="s">
        <v>1764</v>
      </c>
    </row>
    <row r="264" spans="1:5" ht="12.75">
      <c r="A264" s="43" t="s">
        <v>269</v>
      </c>
      <c r="B264" s="30" t="s">
        <v>343</v>
      </c>
      <c r="C264" s="30" t="s">
        <v>338</v>
      </c>
      <c r="D264" s="30" t="s">
        <v>274</v>
      </c>
      <c r="E264" s="47" t="s">
        <v>1765</v>
      </c>
    </row>
    <row r="265" spans="1:5" ht="12.75">
      <c r="A265" s="43" t="s">
        <v>1514</v>
      </c>
      <c r="B265" s="30" t="s">
        <v>953</v>
      </c>
      <c r="C265" s="30" t="s">
        <v>318</v>
      </c>
      <c r="D265" s="30" t="s">
        <v>30</v>
      </c>
      <c r="E265" s="47" t="s">
        <v>1766</v>
      </c>
    </row>
    <row r="266" spans="1:5" ht="12.75">
      <c r="A266" s="43" t="s">
        <v>1653</v>
      </c>
      <c r="B266" s="30" t="s">
        <v>343</v>
      </c>
      <c r="C266" s="30" t="s">
        <v>320</v>
      </c>
      <c r="D266" s="30" t="s">
        <v>54</v>
      </c>
      <c r="E266" s="47" t="s">
        <v>1767</v>
      </c>
    </row>
    <row r="267" spans="1:5" ht="12.75">
      <c r="A267" s="43" t="s">
        <v>1610</v>
      </c>
      <c r="B267" s="30" t="s">
        <v>651</v>
      </c>
      <c r="C267" s="30" t="s">
        <v>315</v>
      </c>
      <c r="D267" s="30" t="s">
        <v>876</v>
      </c>
      <c r="E267" s="47" t="s">
        <v>1768</v>
      </c>
    </row>
    <row r="268" spans="1:5" ht="12.75">
      <c r="A268" s="43" t="s">
        <v>1615</v>
      </c>
      <c r="B268" s="30" t="s">
        <v>651</v>
      </c>
      <c r="C268" s="30" t="s">
        <v>315</v>
      </c>
      <c r="D268" s="30" t="s">
        <v>876</v>
      </c>
      <c r="E268" s="47" t="s">
        <v>1769</v>
      </c>
    </row>
    <row r="269" spans="1:5" ht="12.75">
      <c r="A269" s="43" t="s">
        <v>1517</v>
      </c>
      <c r="B269" s="30" t="s">
        <v>1770</v>
      </c>
      <c r="C269" s="30" t="s">
        <v>318</v>
      </c>
      <c r="D269" s="30" t="s">
        <v>432</v>
      </c>
      <c r="E269" s="47" t="s">
        <v>1771</v>
      </c>
    </row>
    <row r="270" spans="1:5" ht="12.75">
      <c r="A270" s="43" t="s">
        <v>820</v>
      </c>
      <c r="B270" s="30" t="s">
        <v>959</v>
      </c>
      <c r="C270" s="30" t="s">
        <v>309</v>
      </c>
      <c r="D270" s="30" t="s">
        <v>20</v>
      </c>
      <c r="E270" s="47" t="s">
        <v>1772</v>
      </c>
    </row>
    <row r="271" spans="1:5" ht="12.75">
      <c r="A271" s="43" t="s">
        <v>1617</v>
      </c>
      <c r="B271" s="30" t="s">
        <v>651</v>
      </c>
      <c r="C271" s="30" t="s">
        <v>315</v>
      </c>
      <c r="D271" s="30" t="s">
        <v>275</v>
      </c>
      <c r="E271" s="47" t="s">
        <v>1773</v>
      </c>
    </row>
    <row r="272" spans="1:5" ht="12.75">
      <c r="A272" s="43" t="s">
        <v>1621</v>
      </c>
      <c r="B272" s="30" t="s">
        <v>651</v>
      </c>
      <c r="C272" s="30" t="s">
        <v>315</v>
      </c>
      <c r="D272" s="30" t="s">
        <v>438</v>
      </c>
      <c r="E272" s="47" t="s">
        <v>1774</v>
      </c>
    </row>
    <row r="273" spans="1:5" ht="12.75">
      <c r="A273" s="43" t="s">
        <v>1445</v>
      </c>
      <c r="B273" s="30" t="s">
        <v>953</v>
      </c>
      <c r="C273" s="30" t="s">
        <v>313</v>
      </c>
      <c r="D273" s="30" t="s">
        <v>20</v>
      </c>
      <c r="E273" s="47" t="s">
        <v>1775</v>
      </c>
    </row>
    <row r="274" spans="1:5" ht="12.75">
      <c r="A274" s="43" t="s">
        <v>1641</v>
      </c>
      <c r="B274" s="30" t="s">
        <v>350</v>
      </c>
      <c r="C274" s="30" t="s">
        <v>320</v>
      </c>
      <c r="D274" s="30" t="s">
        <v>124</v>
      </c>
      <c r="E274" s="47" t="s">
        <v>1776</v>
      </c>
    </row>
    <row r="275" spans="1:5" ht="12.75">
      <c r="A275" s="43" t="s">
        <v>1623</v>
      </c>
      <c r="B275" s="30" t="s">
        <v>348</v>
      </c>
      <c r="C275" s="30" t="s">
        <v>320</v>
      </c>
      <c r="D275" s="30" t="s">
        <v>851</v>
      </c>
      <c r="E275" s="47" t="s">
        <v>1777</v>
      </c>
    </row>
    <row r="276" spans="1:5" ht="12.75">
      <c r="A276" s="43" t="s">
        <v>1508</v>
      </c>
      <c r="B276" s="30" t="s">
        <v>651</v>
      </c>
      <c r="C276" s="30" t="s">
        <v>318</v>
      </c>
      <c r="D276" s="30" t="s">
        <v>79</v>
      </c>
      <c r="E276" s="47" t="s">
        <v>1778</v>
      </c>
    </row>
    <row r="277" spans="1:5" ht="12.75">
      <c r="A277" s="43" t="s">
        <v>1663</v>
      </c>
      <c r="B277" s="30" t="s">
        <v>348</v>
      </c>
      <c r="C277" s="30" t="s">
        <v>330</v>
      </c>
      <c r="D277" s="30" t="s">
        <v>198</v>
      </c>
      <c r="E277" s="47" t="s">
        <v>1779</v>
      </c>
    </row>
    <row r="278" spans="1:5" ht="12.75">
      <c r="A278" s="43" t="s">
        <v>1571</v>
      </c>
      <c r="B278" s="30" t="s">
        <v>346</v>
      </c>
      <c r="C278" s="30" t="s">
        <v>323</v>
      </c>
      <c r="D278" s="30" t="s">
        <v>433</v>
      </c>
      <c r="E278" s="47" t="s">
        <v>1780</v>
      </c>
    </row>
    <row r="279" spans="1:5" ht="12.75">
      <c r="A279" s="43" t="s">
        <v>1699</v>
      </c>
      <c r="B279" s="30" t="s">
        <v>346</v>
      </c>
      <c r="C279" s="30" t="s">
        <v>940</v>
      </c>
      <c r="D279" s="30" t="s">
        <v>156</v>
      </c>
      <c r="E279" s="47" t="s">
        <v>1781</v>
      </c>
    </row>
    <row r="280" spans="1:5" ht="12.75">
      <c r="A280" s="43" t="s">
        <v>1682</v>
      </c>
      <c r="B280" s="30" t="s">
        <v>350</v>
      </c>
      <c r="C280" s="30" t="s">
        <v>330</v>
      </c>
      <c r="D280" s="30" t="s">
        <v>146</v>
      </c>
      <c r="E280" s="47" t="s">
        <v>1782</v>
      </c>
    </row>
    <row r="281" spans="1:5" ht="12.75">
      <c r="A281" s="43" t="s">
        <v>1604</v>
      </c>
      <c r="B281" s="30" t="s">
        <v>350</v>
      </c>
      <c r="C281" s="30" t="s">
        <v>315</v>
      </c>
      <c r="D281" s="30" t="s">
        <v>826</v>
      </c>
      <c r="E281" s="47" t="s">
        <v>1783</v>
      </c>
    </row>
    <row r="282" spans="1:5" ht="12.75">
      <c r="A282" s="43" t="s">
        <v>1462</v>
      </c>
      <c r="B282" s="30" t="s">
        <v>348</v>
      </c>
      <c r="C282" s="30" t="s">
        <v>318</v>
      </c>
      <c r="D282" s="30" t="s">
        <v>139</v>
      </c>
      <c r="E282" s="47" t="s">
        <v>1784</v>
      </c>
    </row>
    <row r="283" spans="1:5" ht="12.75">
      <c r="A283" s="43" t="s">
        <v>1696</v>
      </c>
      <c r="B283" s="30" t="s">
        <v>651</v>
      </c>
      <c r="C283" s="30" t="s">
        <v>940</v>
      </c>
      <c r="D283" s="30" t="s">
        <v>438</v>
      </c>
      <c r="E283" s="47" t="s">
        <v>1785</v>
      </c>
    </row>
    <row r="284" spans="1:5" ht="12.75">
      <c r="A284" s="43" t="s">
        <v>1600</v>
      </c>
      <c r="B284" s="30" t="s">
        <v>348</v>
      </c>
      <c r="C284" s="30" t="s">
        <v>315</v>
      </c>
      <c r="D284" s="30" t="s">
        <v>123</v>
      </c>
      <c r="E284" s="47" t="s">
        <v>1786</v>
      </c>
    </row>
    <row r="285" spans="1:5" ht="12.75">
      <c r="A285" s="43" t="s">
        <v>1607</v>
      </c>
      <c r="B285" s="30" t="s">
        <v>346</v>
      </c>
      <c r="C285" s="30" t="s">
        <v>315</v>
      </c>
      <c r="D285" s="30" t="s">
        <v>55</v>
      </c>
      <c r="E285" s="47" t="s">
        <v>1787</v>
      </c>
    </row>
    <row r="290" spans="1:2" ht="18">
      <c r="A290" s="40" t="s">
        <v>352</v>
      </c>
      <c r="B290" s="40"/>
    </row>
    <row r="291" spans="1:3" ht="15">
      <c r="A291" s="46" t="s">
        <v>353</v>
      </c>
      <c r="B291" s="46" t="s">
        <v>354</v>
      </c>
      <c r="C291" s="46" t="s">
        <v>355</v>
      </c>
    </row>
    <row r="292" spans="1:3" ht="12.75">
      <c r="A292" s="30" t="s">
        <v>26</v>
      </c>
      <c r="B292" s="30" t="s">
        <v>1788</v>
      </c>
      <c r="C292" s="30" t="s">
        <v>1789</v>
      </c>
    </row>
    <row r="293" spans="1:3" ht="12.75">
      <c r="A293" s="30" t="s">
        <v>61</v>
      </c>
      <c r="B293" s="30" t="s">
        <v>1790</v>
      </c>
      <c r="C293" s="30" t="s">
        <v>1791</v>
      </c>
    </row>
    <row r="294" spans="1:3" ht="12.75">
      <c r="A294" s="30" t="s">
        <v>399</v>
      </c>
      <c r="B294" s="30" t="s">
        <v>1792</v>
      </c>
      <c r="C294" s="30" t="s">
        <v>1793</v>
      </c>
    </row>
    <row r="295" spans="1:3" ht="12.75">
      <c r="A295" s="30" t="s">
        <v>18</v>
      </c>
      <c r="B295" s="30" t="s">
        <v>1794</v>
      </c>
      <c r="C295" s="30" t="s">
        <v>1795</v>
      </c>
    </row>
    <row r="296" spans="1:3" ht="12.75">
      <c r="A296" s="30" t="s">
        <v>97</v>
      </c>
      <c r="B296" s="30" t="s">
        <v>1796</v>
      </c>
      <c r="C296" s="30" t="s">
        <v>1797</v>
      </c>
    </row>
    <row r="297" spans="1:3" ht="12.75">
      <c r="A297" s="30" t="s">
        <v>1456</v>
      </c>
      <c r="B297" s="30" t="s">
        <v>1798</v>
      </c>
      <c r="C297" s="30" t="s">
        <v>1799</v>
      </c>
    </row>
    <row r="298" spans="1:3" ht="12.75">
      <c r="A298" s="30" t="s">
        <v>224</v>
      </c>
      <c r="B298" s="30" t="s">
        <v>1800</v>
      </c>
      <c r="C298" s="30" t="s">
        <v>1801</v>
      </c>
    </row>
    <row r="299" spans="1:3" ht="12.75">
      <c r="A299" s="30" t="s">
        <v>130</v>
      </c>
      <c r="B299" s="30" t="s">
        <v>1802</v>
      </c>
      <c r="C299" s="30" t="s">
        <v>1803</v>
      </c>
    </row>
    <row r="300" spans="1:3" ht="12.75">
      <c r="A300" s="30" t="s">
        <v>1494</v>
      </c>
      <c r="B300" s="30" t="s">
        <v>360</v>
      </c>
      <c r="C300" s="30" t="s">
        <v>1804</v>
      </c>
    </row>
    <row r="301" spans="1:3" ht="12.75">
      <c r="A301" s="30" t="s">
        <v>45</v>
      </c>
      <c r="B301" s="30" t="s">
        <v>363</v>
      </c>
      <c r="C301" s="30" t="s">
        <v>1805</v>
      </c>
    </row>
    <row r="302" spans="1:3" ht="12.75">
      <c r="A302" s="30" t="s">
        <v>859</v>
      </c>
      <c r="B302" s="30" t="s">
        <v>1286</v>
      </c>
      <c r="C302" s="30" t="s">
        <v>1806</v>
      </c>
    </row>
    <row r="303" spans="1:3" ht="12.75">
      <c r="A303" s="30" t="s">
        <v>1034</v>
      </c>
      <c r="B303" s="30" t="s">
        <v>1286</v>
      </c>
      <c r="C303" s="30" t="s">
        <v>1287</v>
      </c>
    </row>
    <row r="304" spans="1:3" ht="12.75">
      <c r="A304" s="30" t="s">
        <v>105</v>
      </c>
      <c r="B304" s="30" t="s">
        <v>1807</v>
      </c>
      <c r="C304" s="30" t="s">
        <v>1808</v>
      </c>
    </row>
    <row r="305" spans="1:3" ht="12.75">
      <c r="A305" s="30" t="s">
        <v>621</v>
      </c>
      <c r="B305" s="30" t="s">
        <v>369</v>
      </c>
      <c r="C305" s="30" t="s">
        <v>1809</v>
      </c>
    </row>
    <row r="306" spans="1:3" ht="12.75">
      <c r="A306" s="30" t="s">
        <v>1612</v>
      </c>
      <c r="B306" s="30" t="s">
        <v>369</v>
      </c>
      <c r="C306" s="30" t="s">
        <v>1810</v>
      </c>
    </row>
    <row r="307" spans="1:3" ht="12.75">
      <c r="A307" s="30" t="s">
        <v>1377</v>
      </c>
      <c r="B307" s="30" t="s">
        <v>369</v>
      </c>
      <c r="C307" s="30" t="s">
        <v>1288</v>
      </c>
    </row>
    <row r="308" spans="1:3" ht="12.75">
      <c r="A308" s="30" t="s">
        <v>37</v>
      </c>
      <c r="B308" s="30" t="s">
        <v>369</v>
      </c>
      <c r="C308" s="30" t="s">
        <v>1811</v>
      </c>
    </row>
    <row r="309" spans="1:3" ht="12.75">
      <c r="A309" s="30" t="s">
        <v>1444</v>
      </c>
      <c r="B309" s="30" t="s">
        <v>369</v>
      </c>
      <c r="C309" s="30" t="s">
        <v>1812</v>
      </c>
    </row>
    <row r="310" spans="1:3" ht="12.75">
      <c r="A310" s="30" t="s">
        <v>1340</v>
      </c>
      <c r="B310" s="30" t="s">
        <v>369</v>
      </c>
      <c r="C310" s="30" t="s">
        <v>1813</v>
      </c>
    </row>
    <row r="311" spans="1:3" ht="12.75">
      <c r="A311" s="30" t="s">
        <v>1361</v>
      </c>
      <c r="B311" s="30" t="s">
        <v>369</v>
      </c>
      <c r="C311" s="30" t="s">
        <v>1814</v>
      </c>
    </row>
    <row r="312" spans="1:3" ht="12.75">
      <c r="A312" s="30" t="s">
        <v>843</v>
      </c>
      <c r="B312" s="30" t="s">
        <v>1815</v>
      </c>
      <c r="C312" s="30" t="s">
        <v>1816</v>
      </c>
    </row>
    <row r="313" spans="1:3" ht="12.75">
      <c r="A313" s="30" t="s">
        <v>182</v>
      </c>
      <c r="B313" s="30" t="s">
        <v>1817</v>
      </c>
      <c r="C313" s="30" t="s">
        <v>1818</v>
      </c>
    </row>
    <row r="314" spans="1:3" ht="12.75">
      <c r="A314" s="30" t="s">
        <v>791</v>
      </c>
      <c r="B314" s="30" t="s">
        <v>381</v>
      </c>
      <c r="C314" s="30" t="s">
        <v>1819</v>
      </c>
    </row>
    <row r="315" spans="1:3" ht="12.75">
      <c r="A315" s="30" t="s">
        <v>1488</v>
      </c>
      <c r="B315" s="30" t="s">
        <v>381</v>
      </c>
      <c r="C315" s="30" t="s">
        <v>1820</v>
      </c>
    </row>
    <row r="316" spans="1:3" ht="12.75">
      <c r="A316" s="30" t="s">
        <v>1511</v>
      </c>
      <c r="B316" s="30" t="s">
        <v>381</v>
      </c>
      <c r="C316" s="30" t="s">
        <v>1821</v>
      </c>
    </row>
    <row r="317" spans="1:3" ht="12.75">
      <c r="A317" s="30" t="s">
        <v>272</v>
      </c>
      <c r="B317" s="30" t="s">
        <v>381</v>
      </c>
      <c r="C317" s="30" t="s">
        <v>1822</v>
      </c>
    </row>
    <row r="318" spans="1:3" ht="12.75">
      <c r="A318" s="30" t="s">
        <v>1648</v>
      </c>
      <c r="B318" s="30" t="s">
        <v>381</v>
      </c>
      <c r="C318" s="30" t="s">
        <v>1823</v>
      </c>
    </row>
    <row r="319" spans="1:3" ht="12.75">
      <c r="A319" s="30" t="s">
        <v>1471</v>
      </c>
      <c r="B319" s="30" t="s">
        <v>383</v>
      </c>
      <c r="C319" s="30" t="s">
        <v>1824</v>
      </c>
    </row>
  </sheetData>
  <sheetProtection/>
  <mergeCells count="28">
    <mergeCell ref="A127:L127"/>
    <mergeCell ref="A140:L140"/>
    <mergeCell ref="A27:L27"/>
    <mergeCell ref="A31:L31"/>
    <mergeCell ref="A35:L35"/>
    <mergeCell ref="A40:L40"/>
    <mergeCell ref="A152:L152"/>
    <mergeCell ref="A160:L160"/>
    <mergeCell ref="A47:L47"/>
    <mergeCell ref="A63:L63"/>
    <mergeCell ref="A88:L88"/>
    <mergeCell ref="A108:L108"/>
    <mergeCell ref="M3:M4"/>
    <mergeCell ref="A5:L5"/>
    <mergeCell ref="A9:L9"/>
    <mergeCell ref="A12:L12"/>
    <mergeCell ref="A15:L15"/>
    <mergeCell ref="A19:L19"/>
    <mergeCell ref="A1:M2"/>
    <mergeCell ref="A3:A4"/>
    <mergeCell ref="B3:B4"/>
    <mergeCell ref="C3:C4"/>
    <mergeCell ref="D3:D4"/>
    <mergeCell ref="E3:E4"/>
    <mergeCell ref="F3:F4"/>
    <mergeCell ref="G3:J3"/>
    <mergeCell ref="K3:K4"/>
    <mergeCell ref="L3:L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6"/>
  <sheetViews>
    <sheetView zoomScalePageLayoutView="0" workbookViewId="0" topLeftCell="A1">
      <selection activeCell="A1" sqref="A1:U2"/>
    </sheetView>
  </sheetViews>
  <sheetFormatPr defaultColWidth="9.00390625" defaultRowHeight="12.75"/>
  <cols>
    <col min="1" max="1" width="31.875" style="30" bestFit="1" customWidth="1"/>
    <col min="2" max="2" width="26.00390625" style="30" bestFit="1" customWidth="1"/>
    <col min="3" max="3" width="12.62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3" width="5.625" style="30" bestFit="1" customWidth="1"/>
    <col min="14" max="14" width="4.625" style="30" bestFit="1" customWidth="1"/>
    <col min="15" max="17" width="5.625" style="30" bestFit="1" customWidth="1"/>
    <col min="18" max="18" width="4.625" style="30" bestFit="1" customWidth="1"/>
    <col min="19" max="19" width="7.875" style="30" bestFit="1" customWidth="1"/>
    <col min="20" max="20" width="8.625" style="30" bestFit="1" customWidth="1"/>
    <col min="21" max="21" width="13.125" style="30" bestFit="1" customWidth="1"/>
  </cols>
  <sheetData>
    <row r="1" spans="1:21" s="1" customFormat="1" ht="15" customHeight="1">
      <c r="A1" s="48" t="s">
        <v>1303</v>
      </c>
      <c r="B1" s="49"/>
      <c r="C1" s="49"/>
      <c r="D1" s="49"/>
      <c r="E1" s="49"/>
      <c r="F1" s="49"/>
      <c r="G1" s="49"/>
      <c r="H1" s="49"/>
      <c r="I1" s="49"/>
      <c r="J1" s="49"/>
      <c r="K1" s="49"/>
      <c r="L1" s="49"/>
      <c r="M1" s="49"/>
      <c r="N1" s="49"/>
      <c r="O1" s="49"/>
      <c r="P1" s="49"/>
      <c r="Q1" s="49"/>
      <c r="R1" s="49"/>
      <c r="S1" s="49"/>
      <c r="T1" s="49"/>
      <c r="U1" s="50"/>
    </row>
    <row r="2" spans="1:21" s="1" customFormat="1" ht="66" customHeight="1" thickBot="1">
      <c r="A2" s="51"/>
      <c r="B2" s="52"/>
      <c r="C2" s="52"/>
      <c r="D2" s="52"/>
      <c r="E2" s="52"/>
      <c r="F2" s="52"/>
      <c r="G2" s="52"/>
      <c r="H2" s="52"/>
      <c r="I2" s="52"/>
      <c r="J2" s="52"/>
      <c r="K2" s="52"/>
      <c r="L2" s="52"/>
      <c r="M2" s="52"/>
      <c r="N2" s="52"/>
      <c r="O2" s="52"/>
      <c r="P2" s="52"/>
      <c r="Q2" s="52"/>
      <c r="R2" s="52"/>
      <c r="S2" s="52"/>
      <c r="T2" s="52"/>
      <c r="U2" s="53"/>
    </row>
    <row r="3" spans="1:21" s="2" customFormat="1" ht="12.75" customHeight="1">
      <c r="A3" s="54" t="s">
        <v>0</v>
      </c>
      <c r="B3" s="56" t="s">
        <v>11</v>
      </c>
      <c r="C3" s="58" t="s">
        <v>5</v>
      </c>
      <c r="D3" s="58" t="s">
        <v>13</v>
      </c>
      <c r="E3" s="58" t="s">
        <v>8</v>
      </c>
      <c r="F3" s="58" t="s">
        <v>10</v>
      </c>
      <c r="G3" s="58" t="s">
        <v>1</v>
      </c>
      <c r="H3" s="58"/>
      <c r="I3" s="58"/>
      <c r="J3" s="58"/>
      <c r="K3" s="58" t="s">
        <v>2</v>
      </c>
      <c r="L3" s="58"/>
      <c r="M3" s="58"/>
      <c r="N3" s="58"/>
      <c r="O3" s="58" t="s">
        <v>3</v>
      </c>
      <c r="P3" s="58"/>
      <c r="Q3" s="58"/>
      <c r="R3" s="58"/>
      <c r="S3" s="58" t="s">
        <v>4</v>
      </c>
      <c r="T3" s="58" t="s">
        <v>7</v>
      </c>
      <c r="U3" s="59" t="s">
        <v>6</v>
      </c>
    </row>
    <row r="4" spans="1:21" s="2" customFormat="1" ht="21" customHeight="1" thickBot="1">
      <c r="A4" s="55"/>
      <c r="B4" s="57"/>
      <c r="C4" s="57"/>
      <c r="D4" s="57"/>
      <c r="E4" s="57"/>
      <c r="F4" s="57"/>
      <c r="G4" s="3">
        <v>1</v>
      </c>
      <c r="H4" s="3">
        <v>2</v>
      </c>
      <c r="I4" s="3">
        <v>3</v>
      </c>
      <c r="J4" s="3" t="s">
        <v>9</v>
      </c>
      <c r="K4" s="3">
        <v>1</v>
      </c>
      <c r="L4" s="3">
        <v>2</v>
      </c>
      <c r="M4" s="3">
        <v>3</v>
      </c>
      <c r="N4" s="3" t="s">
        <v>9</v>
      </c>
      <c r="O4" s="3">
        <v>1</v>
      </c>
      <c r="P4" s="3">
        <v>2</v>
      </c>
      <c r="Q4" s="3">
        <v>3</v>
      </c>
      <c r="R4" s="3" t="s">
        <v>9</v>
      </c>
      <c r="S4" s="57"/>
      <c r="T4" s="57"/>
      <c r="U4" s="60"/>
    </row>
    <row r="5" spans="1:20" ht="15">
      <c r="A5" s="61" t="s">
        <v>93</v>
      </c>
      <c r="B5" s="61"/>
      <c r="C5" s="61"/>
      <c r="D5" s="61"/>
      <c r="E5" s="61"/>
      <c r="F5" s="61"/>
      <c r="G5" s="61"/>
      <c r="H5" s="61"/>
      <c r="I5" s="61"/>
      <c r="J5" s="61"/>
      <c r="K5" s="61"/>
      <c r="L5" s="61"/>
      <c r="M5" s="61"/>
      <c r="N5" s="61"/>
      <c r="O5" s="61"/>
      <c r="P5" s="61"/>
      <c r="Q5" s="61"/>
      <c r="R5" s="61"/>
      <c r="S5" s="61"/>
      <c r="T5" s="61"/>
    </row>
    <row r="6" spans="1:21" ht="12.75">
      <c r="A6" s="31" t="s">
        <v>1304</v>
      </c>
      <c r="B6" s="31" t="s">
        <v>1305</v>
      </c>
      <c r="C6" s="31" t="s">
        <v>817</v>
      </c>
      <c r="D6" s="31" t="str">
        <f>"0,7788"</f>
        <v>0,7788</v>
      </c>
      <c r="E6" s="31" t="s">
        <v>172</v>
      </c>
      <c r="F6" s="31" t="s">
        <v>27</v>
      </c>
      <c r="G6" s="31" t="s">
        <v>124</v>
      </c>
      <c r="H6" s="32" t="s">
        <v>231</v>
      </c>
      <c r="I6" s="32" t="s">
        <v>231</v>
      </c>
      <c r="J6" s="32"/>
      <c r="K6" s="32" t="s">
        <v>39</v>
      </c>
      <c r="L6" s="31" t="s">
        <v>39</v>
      </c>
      <c r="M6" s="31" t="s">
        <v>62</v>
      </c>
      <c r="N6" s="32"/>
      <c r="O6" s="31" t="s">
        <v>433</v>
      </c>
      <c r="P6" s="31" t="s">
        <v>123</v>
      </c>
      <c r="Q6" s="32" t="s">
        <v>252</v>
      </c>
      <c r="R6" s="32"/>
      <c r="S6" s="31">
        <v>500</v>
      </c>
      <c r="T6" s="31" t="str">
        <f>"397,1625"</f>
        <v>397,1625</v>
      </c>
      <c r="U6" s="31" t="s">
        <v>1306</v>
      </c>
    </row>
    <row r="8" spans="1:20" ht="15">
      <c r="A8" s="62" t="s">
        <v>152</v>
      </c>
      <c r="B8" s="62"/>
      <c r="C8" s="62"/>
      <c r="D8" s="62"/>
      <c r="E8" s="62"/>
      <c r="F8" s="62"/>
      <c r="G8" s="62"/>
      <c r="H8" s="62"/>
      <c r="I8" s="62"/>
      <c r="J8" s="62"/>
      <c r="K8" s="62"/>
      <c r="L8" s="62"/>
      <c r="M8" s="62"/>
      <c r="N8" s="62"/>
      <c r="O8" s="62"/>
      <c r="P8" s="62"/>
      <c r="Q8" s="62"/>
      <c r="R8" s="62"/>
      <c r="S8" s="62"/>
      <c r="T8" s="62"/>
    </row>
    <row r="9" spans="1:21" ht="12.75">
      <c r="A9" s="31" t="s">
        <v>1307</v>
      </c>
      <c r="B9" s="31" t="s">
        <v>1308</v>
      </c>
      <c r="C9" s="31" t="s">
        <v>1309</v>
      </c>
      <c r="D9" s="31" t="str">
        <f>"0,6795"</f>
        <v>0,6795</v>
      </c>
      <c r="E9" s="31" t="s">
        <v>172</v>
      </c>
      <c r="F9" s="31" t="s">
        <v>27</v>
      </c>
      <c r="G9" s="32" t="s">
        <v>163</v>
      </c>
      <c r="H9" s="31" t="s">
        <v>163</v>
      </c>
      <c r="I9" s="32" t="s">
        <v>676</v>
      </c>
      <c r="J9" s="32"/>
      <c r="K9" s="31" t="s">
        <v>62</v>
      </c>
      <c r="L9" s="31" t="s">
        <v>63</v>
      </c>
      <c r="M9" s="31" t="s">
        <v>438</v>
      </c>
      <c r="N9" s="32"/>
      <c r="O9" s="31" t="s">
        <v>123</v>
      </c>
      <c r="P9" s="31" t="s">
        <v>252</v>
      </c>
      <c r="Q9" s="31" t="s">
        <v>231</v>
      </c>
      <c r="R9" s="32"/>
      <c r="S9" s="31">
        <v>600</v>
      </c>
      <c r="T9" s="31" t="str">
        <f>"440,3160"</f>
        <v>440,3160</v>
      </c>
      <c r="U9" s="31" t="s">
        <v>1306</v>
      </c>
    </row>
    <row r="11" spans="1:20" ht="15">
      <c r="A11" s="62" t="s">
        <v>83</v>
      </c>
      <c r="B11" s="62"/>
      <c r="C11" s="62"/>
      <c r="D11" s="62"/>
      <c r="E11" s="62"/>
      <c r="F11" s="62"/>
      <c r="G11" s="62"/>
      <c r="H11" s="62"/>
      <c r="I11" s="62"/>
      <c r="J11" s="62"/>
      <c r="K11" s="62"/>
      <c r="L11" s="62"/>
      <c r="M11" s="62"/>
      <c r="N11" s="62"/>
      <c r="O11" s="62"/>
      <c r="P11" s="62"/>
      <c r="Q11" s="62"/>
      <c r="R11" s="62"/>
      <c r="S11" s="62"/>
      <c r="T11" s="62"/>
    </row>
    <row r="12" spans="1:21" ht="12.75">
      <c r="A12" s="33" t="s">
        <v>1310</v>
      </c>
      <c r="B12" s="33" t="s">
        <v>1311</v>
      </c>
      <c r="C12" s="33" t="s">
        <v>1052</v>
      </c>
      <c r="D12" s="33" t="str">
        <f>"0,8128"</f>
        <v>0,8128</v>
      </c>
      <c r="E12" s="33" t="s">
        <v>172</v>
      </c>
      <c r="F12" s="33" t="s">
        <v>27</v>
      </c>
      <c r="G12" s="33" t="s">
        <v>55</v>
      </c>
      <c r="H12" s="33" t="s">
        <v>433</v>
      </c>
      <c r="I12" s="33" t="s">
        <v>139</v>
      </c>
      <c r="J12" s="34"/>
      <c r="K12" s="33" t="s">
        <v>70</v>
      </c>
      <c r="L12" s="34" t="s">
        <v>28</v>
      </c>
      <c r="M12" s="34" t="s">
        <v>28</v>
      </c>
      <c r="N12" s="34"/>
      <c r="O12" s="33" t="s">
        <v>62</v>
      </c>
      <c r="P12" s="34" t="s">
        <v>63</v>
      </c>
      <c r="Q12" s="34" t="s">
        <v>63</v>
      </c>
      <c r="R12" s="34"/>
      <c r="S12" s="33">
        <v>390</v>
      </c>
      <c r="T12" s="33" t="str">
        <f>"323,3318"</f>
        <v>323,3318</v>
      </c>
      <c r="U12" s="33" t="s">
        <v>1312</v>
      </c>
    </row>
    <row r="13" spans="1:21" ht="12.75">
      <c r="A13" s="37" t="s">
        <v>1313</v>
      </c>
      <c r="B13" s="37" t="s">
        <v>1314</v>
      </c>
      <c r="C13" s="37" t="s">
        <v>1315</v>
      </c>
      <c r="D13" s="37" t="str">
        <f>"0,8235"</f>
        <v>0,8235</v>
      </c>
      <c r="E13" s="37" t="s">
        <v>1316</v>
      </c>
      <c r="F13" s="37" t="s">
        <v>583</v>
      </c>
      <c r="G13" s="37" t="s">
        <v>124</v>
      </c>
      <c r="H13" s="38" t="s">
        <v>231</v>
      </c>
      <c r="I13" s="37" t="s">
        <v>231</v>
      </c>
      <c r="J13" s="38"/>
      <c r="K13" s="37" t="s">
        <v>30</v>
      </c>
      <c r="L13" s="37" t="s">
        <v>471</v>
      </c>
      <c r="M13" s="38" t="s">
        <v>80</v>
      </c>
      <c r="N13" s="38"/>
      <c r="O13" s="37" t="s">
        <v>124</v>
      </c>
      <c r="P13" s="37" t="s">
        <v>231</v>
      </c>
      <c r="Q13" s="38" t="s">
        <v>113</v>
      </c>
      <c r="R13" s="38"/>
      <c r="S13" s="37">
        <v>537.5</v>
      </c>
      <c r="T13" s="37" t="str">
        <f>"442,6312"</f>
        <v>442,6312</v>
      </c>
      <c r="U13" s="37" t="s">
        <v>173</v>
      </c>
    </row>
    <row r="15" spans="1:20" ht="15">
      <c r="A15" s="62" t="s">
        <v>152</v>
      </c>
      <c r="B15" s="62"/>
      <c r="C15" s="62"/>
      <c r="D15" s="62"/>
      <c r="E15" s="62"/>
      <c r="F15" s="62"/>
      <c r="G15" s="62"/>
      <c r="H15" s="62"/>
      <c r="I15" s="62"/>
      <c r="J15" s="62"/>
      <c r="K15" s="62"/>
      <c r="L15" s="62"/>
      <c r="M15" s="62"/>
      <c r="N15" s="62"/>
      <c r="O15" s="62"/>
      <c r="P15" s="62"/>
      <c r="Q15" s="62"/>
      <c r="R15" s="62"/>
      <c r="S15" s="62"/>
      <c r="T15" s="62"/>
    </row>
    <row r="16" spans="1:21" ht="12.75">
      <c r="A16" s="33" t="s">
        <v>1317</v>
      </c>
      <c r="B16" s="33" t="s">
        <v>1318</v>
      </c>
      <c r="C16" s="33" t="s">
        <v>1319</v>
      </c>
      <c r="D16" s="33" t="str">
        <f>"0,6273"</f>
        <v>0,6273</v>
      </c>
      <c r="E16" s="33" t="s">
        <v>172</v>
      </c>
      <c r="F16" s="33" t="s">
        <v>27</v>
      </c>
      <c r="G16" s="33" t="s">
        <v>212</v>
      </c>
      <c r="H16" s="34" t="s">
        <v>1006</v>
      </c>
      <c r="I16" s="34" t="s">
        <v>1006</v>
      </c>
      <c r="J16" s="34"/>
      <c r="K16" s="33" t="s">
        <v>438</v>
      </c>
      <c r="L16" s="34" t="s">
        <v>433</v>
      </c>
      <c r="M16" s="34" t="s">
        <v>433</v>
      </c>
      <c r="N16" s="34"/>
      <c r="O16" s="33" t="s">
        <v>113</v>
      </c>
      <c r="P16" s="34" t="s">
        <v>1320</v>
      </c>
      <c r="Q16" s="34" t="s">
        <v>1320</v>
      </c>
      <c r="R16" s="34"/>
      <c r="S16" s="33">
        <v>605</v>
      </c>
      <c r="T16" s="33" t="str">
        <f>"379,5165"</f>
        <v>379,5165</v>
      </c>
      <c r="U16" s="33" t="s">
        <v>1306</v>
      </c>
    </row>
    <row r="17" spans="1:21" ht="12.75">
      <c r="A17" s="37" t="s">
        <v>1321</v>
      </c>
      <c r="B17" s="37" t="s">
        <v>1322</v>
      </c>
      <c r="C17" s="37" t="s">
        <v>176</v>
      </c>
      <c r="D17" s="37" t="str">
        <f>"0,6248"</f>
        <v>0,6248</v>
      </c>
      <c r="E17" s="37" t="s">
        <v>559</v>
      </c>
      <c r="F17" s="37" t="s">
        <v>540</v>
      </c>
      <c r="G17" s="37" t="s">
        <v>123</v>
      </c>
      <c r="H17" s="37" t="s">
        <v>218</v>
      </c>
      <c r="I17" s="38" t="s">
        <v>113</v>
      </c>
      <c r="J17" s="38"/>
      <c r="K17" s="37" t="s">
        <v>438</v>
      </c>
      <c r="L17" s="37" t="s">
        <v>433</v>
      </c>
      <c r="M17" s="38" t="s">
        <v>275</v>
      </c>
      <c r="N17" s="38"/>
      <c r="O17" s="37" t="s">
        <v>124</v>
      </c>
      <c r="P17" s="37" t="s">
        <v>218</v>
      </c>
      <c r="Q17" s="37" t="s">
        <v>851</v>
      </c>
      <c r="R17" s="38"/>
      <c r="S17" s="37">
        <v>572.5</v>
      </c>
      <c r="T17" s="37" t="str">
        <f>"357,7266"</f>
        <v>357,7266</v>
      </c>
      <c r="U17" s="37" t="s">
        <v>1323</v>
      </c>
    </row>
    <row r="19" spans="5:6" ht="15">
      <c r="E19" s="39" t="s">
        <v>279</v>
      </c>
      <c r="F19" s="41" t="s">
        <v>1935</v>
      </c>
    </row>
    <row r="20" spans="5:6" ht="15">
      <c r="E20" s="39" t="s">
        <v>1940</v>
      </c>
      <c r="F20" s="41" t="s">
        <v>1941</v>
      </c>
    </row>
    <row r="21" spans="5:6" ht="15">
      <c r="E21" s="39" t="s">
        <v>280</v>
      </c>
      <c r="F21" s="41" t="s">
        <v>1936</v>
      </c>
    </row>
    <row r="22" spans="5:6" ht="15">
      <c r="E22" s="39" t="s">
        <v>281</v>
      </c>
      <c r="F22" s="41" t="s">
        <v>1939</v>
      </c>
    </row>
    <row r="23" spans="5:6" ht="15">
      <c r="E23" s="39" t="s">
        <v>282</v>
      </c>
      <c r="F23" s="41" t="s">
        <v>1943</v>
      </c>
    </row>
    <row r="24" spans="5:6" ht="15">
      <c r="E24" s="39" t="s">
        <v>282</v>
      </c>
      <c r="F24" s="41" t="s">
        <v>1944</v>
      </c>
    </row>
    <row r="25" spans="5:6" ht="15">
      <c r="E25" s="39" t="s">
        <v>283</v>
      </c>
      <c r="F25" s="41" t="s">
        <v>1942</v>
      </c>
    </row>
    <row r="26" spans="5:6" ht="15">
      <c r="E26" s="39" t="s">
        <v>1937</v>
      </c>
      <c r="F26" s="41" t="s">
        <v>1938</v>
      </c>
    </row>
    <row r="27" spans="1:2" ht="18">
      <c r="A27" s="40" t="s">
        <v>284</v>
      </c>
      <c r="B27" s="40"/>
    </row>
    <row r="28" spans="1:2" ht="15">
      <c r="A28" s="42" t="s">
        <v>285</v>
      </c>
      <c r="B28" s="42"/>
    </row>
    <row r="29" spans="1:2" ht="14.25">
      <c r="A29" s="44"/>
      <c r="B29" s="45" t="s">
        <v>286</v>
      </c>
    </row>
    <row r="30" spans="1:5" ht="15">
      <c r="A30" s="46" t="s">
        <v>287</v>
      </c>
      <c r="B30" s="46" t="s">
        <v>288</v>
      </c>
      <c r="C30" s="46" t="s">
        <v>289</v>
      </c>
      <c r="D30" s="46" t="s">
        <v>290</v>
      </c>
      <c r="E30" s="46" t="s">
        <v>291</v>
      </c>
    </row>
    <row r="31" spans="1:5" ht="12.75">
      <c r="A31" s="43" t="s">
        <v>1307</v>
      </c>
      <c r="B31" s="30" t="s">
        <v>292</v>
      </c>
      <c r="C31" s="30" t="s">
        <v>318</v>
      </c>
      <c r="D31" s="30" t="s">
        <v>1324</v>
      </c>
      <c r="E31" s="47" t="s">
        <v>1325</v>
      </c>
    </row>
    <row r="33" spans="1:2" ht="14.25">
      <c r="A33" s="44"/>
      <c r="B33" s="45" t="s">
        <v>297</v>
      </c>
    </row>
    <row r="34" spans="1:5" ht="15">
      <c r="A34" s="46" t="s">
        <v>287</v>
      </c>
      <c r="B34" s="46" t="s">
        <v>288</v>
      </c>
      <c r="C34" s="46" t="s">
        <v>289</v>
      </c>
      <c r="D34" s="46" t="s">
        <v>290</v>
      </c>
      <c r="E34" s="46" t="s">
        <v>291</v>
      </c>
    </row>
    <row r="35" spans="1:5" ht="12.75">
      <c r="A35" s="43" t="s">
        <v>1304</v>
      </c>
      <c r="B35" s="30" t="s">
        <v>298</v>
      </c>
      <c r="C35" s="30" t="s">
        <v>309</v>
      </c>
      <c r="D35" s="30" t="s">
        <v>1220</v>
      </c>
      <c r="E35" s="47" t="s">
        <v>1326</v>
      </c>
    </row>
    <row r="38" spans="1:2" ht="15">
      <c r="A38" s="42" t="s">
        <v>312</v>
      </c>
      <c r="B38" s="42"/>
    </row>
    <row r="39" spans="1:2" ht="14.25">
      <c r="A39" s="44"/>
      <c r="B39" s="45" t="s">
        <v>297</v>
      </c>
    </row>
    <row r="40" spans="1:5" ht="15">
      <c r="A40" s="46" t="s">
        <v>287</v>
      </c>
      <c r="B40" s="46" t="s">
        <v>288</v>
      </c>
      <c r="C40" s="46" t="s">
        <v>289</v>
      </c>
      <c r="D40" s="46" t="s">
        <v>290</v>
      </c>
      <c r="E40" s="46" t="s">
        <v>291</v>
      </c>
    </row>
    <row r="41" spans="1:5" ht="12.75">
      <c r="A41" s="43" t="s">
        <v>1317</v>
      </c>
      <c r="B41" s="30" t="s">
        <v>298</v>
      </c>
      <c r="C41" s="30" t="s">
        <v>318</v>
      </c>
      <c r="D41" s="30" t="s">
        <v>761</v>
      </c>
      <c r="E41" s="47" t="s">
        <v>1327</v>
      </c>
    </row>
    <row r="42" spans="1:5" ht="12.75">
      <c r="A42" s="43" t="s">
        <v>1310</v>
      </c>
      <c r="B42" s="30" t="s">
        <v>298</v>
      </c>
      <c r="C42" s="30" t="s">
        <v>306</v>
      </c>
      <c r="D42" s="30" t="s">
        <v>1222</v>
      </c>
      <c r="E42" s="47" t="s">
        <v>1328</v>
      </c>
    </row>
    <row r="44" spans="1:2" ht="14.25">
      <c r="A44" s="44"/>
      <c r="B44" s="45" t="s">
        <v>301</v>
      </c>
    </row>
    <row r="45" spans="1:5" ht="15">
      <c r="A45" s="46" t="s">
        <v>287</v>
      </c>
      <c r="B45" s="46" t="s">
        <v>288</v>
      </c>
      <c r="C45" s="46" t="s">
        <v>289</v>
      </c>
      <c r="D45" s="46" t="s">
        <v>290</v>
      </c>
      <c r="E45" s="46" t="s">
        <v>291</v>
      </c>
    </row>
    <row r="46" spans="1:5" ht="12.75">
      <c r="A46" s="43" t="s">
        <v>1313</v>
      </c>
      <c r="B46" s="30" t="s">
        <v>301</v>
      </c>
      <c r="C46" s="30" t="s">
        <v>306</v>
      </c>
      <c r="D46" s="30" t="s">
        <v>1329</v>
      </c>
      <c r="E46" s="47" t="s">
        <v>1330</v>
      </c>
    </row>
    <row r="47" spans="1:5" ht="12.75">
      <c r="A47" s="43" t="s">
        <v>1321</v>
      </c>
      <c r="B47" s="30" t="s">
        <v>301</v>
      </c>
      <c r="C47" s="30" t="s">
        <v>318</v>
      </c>
      <c r="D47" s="30" t="s">
        <v>1248</v>
      </c>
      <c r="E47" s="47" t="s">
        <v>1331</v>
      </c>
    </row>
    <row r="52" spans="1:2" ht="18">
      <c r="A52" s="40" t="s">
        <v>352</v>
      </c>
      <c r="B52" s="40"/>
    </row>
    <row r="53" spans="1:3" ht="15">
      <c r="A53" s="46" t="s">
        <v>353</v>
      </c>
      <c r="B53" s="46" t="s">
        <v>354</v>
      </c>
      <c r="C53" s="46" t="s">
        <v>355</v>
      </c>
    </row>
    <row r="54" spans="1:3" ht="12.75">
      <c r="A54" s="30" t="s">
        <v>172</v>
      </c>
      <c r="B54" s="30" t="s">
        <v>1332</v>
      </c>
      <c r="C54" s="30" t="s">
        <v>1333</v>
      </c>
    </row>
    <row r="55" spans="1:3" ht="12.75">
      <c r="A55" s="30" t="s">
        <v>1316</v>
      </c>
      <c r="B55" s="30" t="s">
        <v>369</v>
      </c>
      <c r="C55" s="30" t="s">
        <v>1334</v>
      </c>
    </row>
    <row r="56" spans="1:3" ht="12.75">
      <c r="A56" s="30" t="s">
        <v>559</v>
      </c>
      <c r="B56" s="30" t="s">
        <v>369</v>
      </c>
      <c r="C56" s="30" t="s">
        <v>1335</v>
      </c>
    </row>
  </sheetData>
  <sheetProtection/>
  <mergeCells count="17">
    <mergeCell ref="A15:T15"/>
    <mergeCell ref="S3:S4"/>
    <mergeCell ref="T3:T4"/>
    <mergeCell ref="U3:U4"/>
    <mergeCell ref="A5:T5"/>
    <mergeCell ref="A8:T8"/>
    <mergeCell ref="A11:T11"/>
    <mergeCell ref="A1:U2"/>
    <mergeCell ref="A3:A4"/>
    <mergeCell ref="B3:B4"/>
    <mergeCell ref="C3:C4"/>
    <mergeCell ref="D3:D4"/>
    <mergeCell ref="E3:E4"/>
    <mergeCell ref="F3:F4"/>
    <mergeCell ref="G3:J3"/>
    <mergeCell ref="K3:N3"/>
    <mergeCell ref="O3:R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206"/>
  <sheetViews>
    <sheetView zoomScalePageLayoutView="0" workbookViewId="0" topLeftCell="A1">
      <selection activeCell="A1" sqref="A1:U2"/>
    </sheetView>
  </sheetViews>
  <sheetFormatPr defaultColWidth="9.00390625" defaultRowHeight="12.75"/>
  <cols>
    <col min="1" max="1" width="31.875" style="30" bestFit="1" customWidth="1"/>
    <col min="2" max="2" width="35.125" style="30" bestFit="1" customWidth="1"/>
    <col min="3" max="3" width="12.25390625" style="30" customWidth="1"/>
    <col min="4" max="4" width="10.625" style="30" bestFit="1" customWidth="1"/>
    <col min="5" max="5" width="22.75390625" style="30" bestFit="1" customWidth="1"/>
    <col min="6" max="6" width="38.25390625" style="30" bestFit="1" customWidth="1"/>
    <col min="7" max="13" width="5.625" style="30" bestFit="1" customWidth="1"/>
    <col min="14" max="14" width="4.625" style="30" bestFit="1" customWidth="1"/>
    <col min="15" max="17" width="5.625" style="30" bestFit="1" customWidth="1"/>
    <col min="18" max="18" width="4.625" style="30" bestFit="1" customWidth="1"/>
    <col min="19" max="19" width="7.875" style="30" bestFit="1" customWidth="1"/>
    <col min="20" max="20" width="8.625" style="30" bestFit="1" customWidth="1"/>
    <col min="21" max="21" width="25.625" style="30" bestFit="1" customWidth="1"/>
  </cols>
  <sheetData>
    <row r="1" spans="1:21" s="1" customFormat="1" ht="15" customHeight="1">
      <c r="A1" s="48" t="s">
        <v>1036</v>
      </c>
      <c r="B1" s="49"/>
      <c r="C1" s="49"/>
      <c r="D1" s="49"/>
      <c r="E1" s="49"/>
      <c r="F1" s="49"/>
      <c r="G1" s="49"/>
      <c r="H1" s="49"/>
      <c r="I1" s="49"/>
      <c r="J1" s="49"/>
      <c r="K1" s="49"/>
      <c r="L1" s="49"/>
      <c r="M1" s="49"/>
      <c r="N1" s="49"/>
      <c r="O1" s="49"/>
      <c r="P1" s="49"/>
      <c r="Q1" s="49"/>
      <c r="R1" s="49"/>
      <c r="S1" s="49"/>
      <c r="T1" s="49"/>
      <c r="U1" s="50"/>
    </row>
    <row r="2" spans="1:21" s="1" customFormat="1" ht="66" customHeight="1" thickBot="1">
      <c r="A2" s="51"/>
      <c r="B2" s="52"/>
      <c r="C2" s="52"/>
      <c r="D2" s="52"/>
      <c r="E2" s="52"/>
      <c r="F2" s="52"/>
      <c r="G2" s="52"/>
      <c r="H2" s="52"/>
      <c r="I2" s="52"/>
      <c r="J2" s="52"/>
      <c r="K2" s="52"/>
      <c r="L2" s="52"/>
      <c r="M2" s="52"/>
      <c r="N2" s="52"/>
      <c r="O2" s="52"/>
      <c r="P2" s="52"/>
      <c r="Q2" s="52"/>
      <c r="R2" s="52"/>
      <c r="S2" s="52"/>
      <c r="T2" s="52"/>
      <c r="U2" s="53"/>
    </row>
    <row r="3" spans="1:21" s="2" customFormat="1" ht="12.75" customHeight="1">
      <c r="A3" s="54" t="s">
        <v>0</v>
      </c>
      <c r="B3" s="56" t="s">
        <v>11</v>
      </c>
      <c r="C3" s="58" t="s">
        <v>5</v>
      </c>
      <c r="D3" s="58" t="s">
        <v>13</v>
      </c>
      <c r="E3" s="58" t="s">
        <v>8</v>
      </c>
      <c r="F3" s="58" t="s">
        <v>10</v>
      </c>
      <c r="G3" s="58" t="s">
        <v>1</v>
      </c>
      <c r="H3" s="58"/>
      <c r="I3" s="58"/>
      <c r="J3" s="58"/>
      <c r="K3" s="58" t="s">
        <v>2</v>
      </c>
      <c r="L3" s="58"/>
      <c r="M3" s="58"/>
      <c r="N3" s="58"/>
      <c r="O3" s="58" t="s">
        <v>3</v>
      </c>
      <c r="P3" s="58"/>
      <c r="Q3" s="58"/>
      <c r="R3" s="58"/>
      <c r="S3" s="58" t="s">
        <v>4</v>
      </c>
      <c r="T3" s="58" t="s">
        <v>7</v>
      </c>
      <c r="U3" s="59" t="s">
        <v>6</v>
      </c>
    </row>
    <row r="4" spans="1:21" s="2" customFormat="1" ht="21" customHeight="1" thickBot="1">
      <c r="A4" s="55"/>
      <c r="B4" s="57"/>
      <c r="C4" s="57"/>
      <c r="D4" s="57"/>
      <c r="E4" s="57"/>
      <c r="F4" s="57"/>
      <c r="G4" s="3">
        <v>1</v>
      </c>
      <c r="H4" s="3">
        <v>2</v>
      </c>
      <c r="I4" s="3">
        <v>3</v>
      </c>
      <c r="J4" s="3" t="s">
        <v>9</v>
      </c>
      <c r="K4" s="3">
        <v>1</v>
      </c>
      <c r="L4" s="3">
        <v>2</v>
      </c>
      <c r="M4" s="3">
        <v>3</v>
      </c>
      <c r="N4" s="3" t="s">
        <v>9</v>
      </c>
      <c r="O4" s="3">
        <v>1</v>
      </c>
      <c r="P4" s="3">
        <v>2</v>
      </c>
      <c r="Q4" s="3">
        <v>3</v>
      </c>
      <c r="R4" s="3" t="s">
        <v>9</v>
      </c>
      <c r="S4" s="57"/>
      <c r="T4" s="57"/>
      <c r="U4" s="60"/>
    </row>
    <row r="5" spans="1:20" ht="15">
      <c r="A5" s="61" t="s">
        <v>33</v>
      </c>
      <c r="B5" s="61"/>
      <c r="C5" s="61"/>
      <c r="D5" s="61"/>
      <c r="E5" s="61"/>
      <c r="F5" s="61"/>
      <c r="G5" s="61"/>
      <c r="H5" s="61"/>
      <c r="I5" s="61"/>
      <c r="J5" s="61"/>
      <c r="K5" s="61"/>
      <c r="L5" s="61"/>
      <c r="M5" s="61"/>
      <c r="N5" s="61"/>
      <c r="O5" s="61"/>
      <c r="P5" s="61"/>
      <c r="Q5" s="61"/>
      <c r="R5" s="61"/>
      <c r="S5" s="61"/>
      <c r="T5" s="61"/>
    </row>
    <row r="6" spans="1:21" ht="12.75">
      <c r="A6" s="31" t="s">
        <v>34</v>
      </c>
      <c r="B6" s="31" t="s">
        <v>35</v>
      </c>
      <c r="C6" s="31" t="s">
        <v>36</v>
      </c>
      <c r="D6" s="31" t="str">
        <f>"1,0396"</f>
        <v>1,0396</v>
      </c>
      <c r="E6" s="31" t="s">
        <v>37</v>
      </c>
      <c r="F6" s="31" t="s">
        <v>38</v>
      </c>
      <c r="G6" s="31" t="s">
        <v>70</v>
      </c>
      <c r="H6" s="31" t="s">
        <v>28</v>
      </c>
      <c r="I6" s="32" t="s">
        <v>47</v>
      </c>
      <c r="J6" s="32"/>
      <c r="K6" s="31" t="s">
        <v>402</v>
      </c>
      <c r="L6" s="32" t="s">
        <v>393</v>
      </c>
      <c r="M6" s="32" t="s">
        <v>393</v>
      </c>
      <c r="N6" s="32"/>
      <c r="O6" s="31" t="s">
        <v>30</v>
      </c>
      <c r="P6" s="31" t="s">
        <v>39</v>
      </c>
      <c r="Q6" s="32"/>
      <c r="R6" s="32"/>
      <c r="S6" s="31">
        <v>260</v>
      </c>
      <c r="T6" s="31" t="str">
        <f>"305,4492"</f>
        <v>305,4492</v>
      </c>
      <c r="U6" s="31" t="s">
        <v>41</v>
      </c>
    </row>
    <row r="8" spans="1:20" ht="15">
      <c r="A8" s="62" t="s">
        <v>50</v>
      </c>
      <c r="B8" s="62"/>
      <c r="C8" s="62"/>
      <c r="D8" s="62"/>
      <c r="E8" s="62"/>
      <c r="F8" s="62"/>
      <c r="G8" s="62"/>
      <c r="H8" s="62"/>
      <c r="I8" s="62"/>
      <c r="J8" s="62"/>
      <c r="K8" s="62"/>
      <c r="L8" s="62"/>
      <c r="M8" s="62"/>
      <c r="N8" s="62"/>
      <c r="O8" s="62"/>
      <c r="P8" s="62"/>
      <c r="Q8" s="62"/>
      <c r="R8" s="62"/>
      <c r="S8" s="62"/>
      <c r="T8" s="62"/>
    </row>
    <row r="9" spans="1:21" ht="12.75">
      <c r="A9" s="33" t="s">
        <v>1037</v>
      </c>
      <c r="B9" s="33" t="s">
        <v>1038</v>
      </c>
      <c r="C9" s="33" t="s">
        <v>1039</v>
      </c>
      <c r="D9" s="33" t="str">
        <f>"0,9747"</f>
        <v>0,9747</v>
      </c>
      <c r="E9" s="33" t="s">
        <v>1040</v>
      </c>
      <c r="F9" s="33" t="s">
        <v>1041</v>
      </c>
      <c r="G9" s="33" t="s">
        <v>28</v>
      </c>
      <c r="H9" s="34" t="s">
        <v>47</v>
      </c>
      <c r="I9" s="33" t="s">
        <v>47</v>
      </c>
      <c r="J9" s="34"/>
      <c r="K9" s="33" t="s">
        <v>407</v>
      </c>
      <c r="L9" s="33" t="s">
        <v>400</v>
      </c>
      <c r="M9" s="34" t="s">
        <v>408</v>
      </c>
      <c r="N9" s="34"/>
      <c r="O9" s="33" t="s">
        <v>28</v>
      </c>
      <c r="P9" s="33" t="s">
        <v>29</v>
      </c>
      <c r="Q9" s="33" t="s">
        <v>47</v>
      </c>
      <c r="R9" s="34"/>
      <c r="S9" s="33">
        <v>270</v>
      </c>
      <c r="T9" s="33" t="str">
        <f>"310,5394"</f>
        <v>310,5394</v>
      </c>
      <c r="U9" s="33" t="s">
        <v>1042</v>
      </c>
    </row>
    <row r="10" spans="1:21" ht="12.75">
      <c r="A10" s="35" t="s">
        <v>51</v>
      </c>
      <c r="B10" s="35" t="s">
        <v>52</v>
      </c>
      <c r="C10" s="35" t="s">
        <v>53</v>
      </c>
      <c r="D10" s="35" t="str">
        <f>"0,9701"</f>
        <v>0,9701</v>
      </c>
      <c r="E10" s="35" t="s">
        <v>26</v>
      </c>
      <c r="F10" s="35" t="s">
        <v>27</v>
      </c>
      <c r="G10" s="35" t="s">
        <v>28</v>
      </c>
      <c r="H10" s="35" t="s">
        <v>30</v>
      </c>
      <c r="I10" s="36" t="s">
        <v>48</v>
      </c>
      <c r="J10" s="36"/>
      <c r="K10" s="35" t="s">
        <v>400</v>
      </c>
      <c r="L10" s="36" t="s">
        <v>408</v>
      </c>
      <c r="M10" s="36" t="s">
        <v>408</v>
      </c>
      <c r="N10" s="36"/>
      <c r="O10" s="35" t="s">
        <v>54</v>
      </c>
      <c r="P10" s="35" t="s">
        <v>55</v>
      </c>
      <c r="Q10" s="36"/>
      <c r="R10" s="36"/>
      <c r="S10" s="35">
        <v>310</v>
      </c>
      <c r="T10" s="35" t="str">
        <f>"300,7310"</f>
        <v>300,7310</v>
      </c>
      <c r="U10" s="35" t="s">
        <v>57</v>
      </c>
    </row>
    <row r="11" spans="1:21" ht="12.75">
      <c r="A11" s="35" t="s">
        <v>1043</v>
      </c>
      <c r="B11" s="35" t="s">
        <v>1044</v>
      </c>
      <c r="C11" s="35" t="s">
        <v>1045</v>
      </c>
      <c r="D11" s="35" t="str">
        <f>"1,0191"</f>
        <v>1,0191</v>
      </c>
      <c r="E11" s="35" t="s">
        <v>26</v>
      </c>
      <c r="F11" s="35" t="s">
        <v>27</v>
      </c>
      <c r="G11" s="35" t="s">
        <v>391</v>
      </c>
      <c r="H11" s="36" t="s">
        <v>395</v>
      </c>
      <c r="I11" s="36" t="s">
        <v>395</v>
      </c>
      <c r="J11" s="36"/>
      <c r="K11" s="35" t="s">
        <v>402</v>
      </c>
      <c r="L11" s="35" t="s">
        <v>524</v>
      </c>
      <c r="M11" s="35" t="s">
        <v>393</v>
      </c>
      <c r="N11" s="36"/>
      <c r="O11" s="35" t="s">
        <v>30</v>
      </c>
      <c r="P11" s="35" t="s">
        <v>39</v>
      </c>
      <c r="Q11" s="35" t="s">
        <v>99</v>
      </c>
      <c r="R11" s="36"/>
      <c r="S11" s="35">
        <v>240</v>
      </c>
      <c r="T11" s="35" t="str">
        <f>"244,5720"</f>
        <v>244,5720</v>
      </c>
      <c r="U11" s="35" t="s">
        <v>57</v>
      </c>
    </row>
    <row r="12" spans="1:21" ht="12.75">
      <c r="A12" s="37" t="s">
        <v>1046</v>
      </c>
      <c r="B12" s="37" t="s">
        <v>1047</v>
      </c>
      <c r="C12" s="37" t="s">
        <v>1048</v>
      </c>
      <c r="D12" s="37" t="str">
        <f>"0,9778"</f>
        <v>0,9778</v>
      </c>
      <c r="E12" s="37" t="s">
        <v>26</v>
      </c>
      <c r="F12" s="37" t="s">
        <v>27</v>
      </c>
      <c r="G12" s="37" t="s">
        <v>391</v>
      </c>
      <c r="H12" s="37" t="s">
        <v>395</v>
      </c>
      <c r="I12" s="37" t="s">
        <v>417</v>
      </c>
      <c r="J12" s="38"/>
      <c r="K12" s="37" t="s">
        <v>402</v>
      </c>
      <c r="L12" s="37" t="s">
        <v>393</v>
      </c>
      <c r="M12" s="38" t="s">
        <v>403</v>
      </c>
      <c r="N12" s="38"/>
      <c r="O12" s="37" t="s">
        <v>69</v>
      </c>
      <c r="P12" s="37" t="s">
        <v>20</v>
      </c>
      <c r="Q12" s="38" t="s">
        <v>70</v>
      </c>
      <c r="R12" s="38"/>
      <c r="S12" s="37">
        <v>207.5</v>
      </c>
      <c r="T12" s="37" t="str">
        <f>"202,8935"</f>
        <v>202,8935</v>
      </c>
      <c r="U12" s="37" t="s">
        <v>1049</v>
      </c>
    </row>
    <row r="14" spans="1:20" ht="15">
      <c r="A14" s="62" t="s">
        <v>83</v>
      </c>
      <c r="B14" s="62"/>
      <c r="C14" s="62"/>
      <c r="D14" s="62"/>
      <c r="E14" s="62"/>
      <c r="F14" s="62"/>
      <c r="G14" s="62"/>
      <c r="H14" s="62"/>
      <c r="I14" s="62"/>
      <c r="J14" s="62"/>
      <c r="K14" s="62"/>
      <c r="L14" s="62"/>
      <c r="M14" s="62"/>
      <c r="N14" s="62"/>
      <c r="O14" s="62"/>
      <c r="P14" s="62"/>
      <c r="Q14" s="62"/>
      <c r="R14" s="62"/>
      <c r="S14" s="62"/>
      <c r="T14" s="62"/>
    </row>
    <row r="15" spans="1:21" ht="12.75">
      <c r="A15" s="33" t="s">
        <v>84</v>
      </c>
      <c r="B15" s="33" t="s">
        <v>85</v>
      </c>
      <c r="C15" s="33" t="s">
        <v>86</v>
      </c>
      <c r="D15" s="33" t="str">
        <f>"0,8628"</f>
        <v>0,8628</v>
      </c>
      <c r="E15" s="33" t="s">
        <v>26</v>
      </c>
      <c r="F15" s="33" t="s">
        <v>27</v>
      </c>
      <c r="G15" s="33" t="s">
        <v>28</v>
      </c>
      <c r="H15" s="33" t="s">
        <v>29</v>
      </c>
      <c r="I15" s="34" t="s">
        <v>30</v>
      </c>
      <c r="J15" s="34"/>
      <c r="K15" s="33" t="s">
        <v>408</v>
      </c>
      <c r="L15" s="33" t="s">
        <v>390</v>
      </c>
      <c r="M15" s="34" t="s">
        <v>409</v>
      </c>
      <c r="N15" s="34"/>
      <c r="O15" s="33" t="s">
        <v>54</v>
      </c>
      <c r="P15" s="34" t="s">
        <v>55</v>
      </c>
      <c r="Q15" s="33" t="s">
        <v>55</v>
      </c>
      <c r="R15" s="34"/>
      <c r="S15" s="33">
        <v>310</v>
      </c>
      <c r="T15" s="33" t="str">
        <f>"267,4680"</f>
        <v>267,4680</v>
      </c>
      <c r="U15" s="33" t="s">
        <v>87</v>
      </c>
    </row>
    <row r="16" spans="1:21" ht="12.75">
      <c r="A16" s="35" t="s">
        <v>1050</v>
      </c>
      <c r="B16" s="35" t="s">
        <v>1051</v>
      </c>
      <c r="C16" s="35" t="s">
        <v>1052</v>
      </c>
      <c r="D16" s="35" t="str">
        <f>"0,8609"</f>
        <v>0,8609</v>
      </c>
      <c r="E16" s="35" t="s">
        <v>18</v>
      </c>
      <c r="F16" s="35" t="s">
        <v>19</v>
      </c>
      <c r="G16" s="36" t="s">
        <v>428</v>
      </c>
      <c r="H16" s="35" t="s">
        <v>428</v>
      </c>
      <c r="I16" s="36" t="s">
        <v>414</v>
      </c>
      <c r="J16" s="36"/>
      <c r="K16" s="35" t="s">
        <v>394</v>
      </c>
      <c r="L16" s="35" t="s">
        <v>391</v>
      </c>
      <c r="M16" s="35" t="s">
        <v>421</v>
      </c>
      <c r="N16" s="36"/>
      <c r="O16" s="35" t="s">
        <v>28</v>
      </c>
      <c r="P16" s="36" t="s">
        <v>30</v>
      </c>
      <c r="Q16" s="35" t="s">
        <v>30</v>
      </c>
      <c r="R16" s="36"/>
      <c r="S16" s="35">
        <v>277.5</v>
      </c>
      <c r="T16" s="35" t="str">
        <f>"238,8997"</f>
        <v>238,8997</v>
      </c>
      <c r="U16" s="35" t="s">
        <v>1053</v>
      </c>
    </row>
    <row r="17" spans="1:21" ht="12.75">
      <c r="A17" s="35" t="s">
        <v>1054</v>
      </c>
      <c r="B17" s="35" t="s">
        <v>1055</v>
      </c>
      <c r="C17" s="35" t="s">
        <v>1056</v>
      </c>
      <c r="D17" s="35" t="str">
        <f>"0,8647"</f>
        <v>0,8647</v>
      </c>
      <c r="E17" s="35" t="s">
        <v>68</v>
      </c>
      <c r="F17" s="35" t="s">
        <v>27</v>
      </c>
      <c r="G17" s="35" t="s">
        <v>20</v>
      </c>
      <c r="H17" s="35" t="s">
        <v>21</v>
      </c>
      <c r="I17" s="36" t="s">
        <v>28</v>
      </c>
      <c r="J17" s="36"/>
      <c r="K17" s="35" t="s">
        <v>407</v>
      </c>
      <c r="L17" s="36" t="s">
        <v>400</v>
      </c>
      <c r="M17" s="36" t="s">
        <v>390</v>
      </c>
      <c r="N17" s="36"/>
      <c r="O17" s="35" t="s">
        <v>20</v>
      </c>
      <c r="P17" s="35" t="s">
        <v>21</v>
      </c>
      <c r="Q17" s="36" t="s">
        <v>414</v>
      </c>
      <c r="R17" s="36"/>
      <c r="S17" s="35">
        <v>235</v>
      </c>
      <c r="T17" s="35" t="str">
        <f>"203,1928"</f>
        <v>203,1928</v>
      </c>
      <c r="U17" s="35" t="s">
        <v>49</v>
      </c>
    </row>
    <row r="18" spans="1:21" ht="12.75">
      <c r="A18" s="37" t="s">
        <v>88</v>
      </c>
      <c r="B18" s="37" t="s">
        <v>89</v>
      </c>
      <c r="C18" s="37" t="s">
        <v>90</v>
      </c>
      <c r="D18" s="37" t="str">
        <f>"0,8744"</f>
        <v>0,8744</v>
      </c>
      <c r="E18" s="37" t="s">
        <v>61</v>
      </c>
      <c r="F18" s="37" t="s">
        <v>46</v>
      </c>
      <c r="G18" s="38" t="s">
        <v>69</v>
      </c>
      <c r="H18" s="38" t="s">
        <v>69</v>
      </c>
      <c r="I18" s="38" t="s">
        <v>69</v>
      </c>
      <c r="J18" s="38"/>
      <c r="K18" s="38" t="s">
        <v>518</v>
      </c>
      <c r="L18" s="38"/>
      <c r="M18" s="38"/>
      <c r="N18" s="38"/>
      <c r="O18" s="38" t="s">
        <v>48</v>
      </c>
      <c r="P18" s="38"/>
      <c r="Q18" s="38"/>
      <c r="R18" s="38"/>
      <c r="S18" s="37">
        <v>0</v>
      </c>
      <c r="T18" s="37" t="str">
        <f>"0,0000"</f>
        <v>0,0000</v>
      </c>
      <c r="U18" s="37" t="s">
        <v>92</v>
      </c>
    </row>
    <row r="20" spans="1:20" ht="15">
      <c r="A20" s="62" t="s">
        <v>93</v>
      </c>
      <c r="B20" s="62"/>
      <c r="C20" s="62"/>
      <c r="D20" s="62"/>
      <c r="E20" s="62"/>
      <c r="F20" s="62"/>
      <c r="G20" s="62"/>
      <c r="H20" s="62"/>
      <c r="I20" s="62"/>
      <c r="J20" s="62"/>
      <c r="K20" s="62"/>
      <c r="L20" s="62"/>
      <c r="M20" s="62"/>
      <c r="N20" s="62"/>
      <c r="O20" s="62"/>
      <c r="P20" s="62"/>
      <c r="Q20" s="62"/>
      <c r="R20" s="62"/>
      <c r="S20" s="62"/>
      <c r="T20" s="62"/>
    </row>
    <row r="21" spans="1:21" ht="12.75">
      <c r="A21" s="33" t="s">
        <v>1057</v>
      </c>
      <c r="B21" s="33" t="s">
        <v>1058</v>
      </c>
      <c r="C21" s="33" t="s">
        <v>1059</v>
      </c>
      <c r="D21" s="33" t="str">
        <f>"0,7817"</f>
        <v>0,7817</v>
      </c>
      <c r="E21" s="33" t="s">
        <v>1060</v>
      </c>
      <c r="F21" s="33" t="s">
        <v>1061</v>
      </c>
      <c r="G21" s="33" t="s">
        <v>70</v>
      </c>
      <c r="H21" s="34" t="s">
        <v>414</v>
      </c>
      <c r="I21" s="34" t="s">
        <v>414</v>
      </c>
      <c r="J21" s="34"/>
      <c r="K21" s="33" t="s">
        <v>407</v>
      </c>
      <c r="L21" s="33" t="s">
        <v>400</v>
      </c>
      <c r="M21" s="34" t="s">
        <v>390</v>
      </c>
      <c r="N21" s="34"/>
      <c r="O21" s="33" t="s">
        <v>70</v>
      </c>
      <c r="P21" s="34" t="s">
        <v>428</v>
      </c>
      <c r="Q21" s="34"/>
      <c r="R21" s="34"/>
      <c r="S21" s="33">
        <v>235</v>
      </c>
      <c r="T21" s="33" t="str">
        <f>"216,7654"</f>
        <v>216,7654</v>
      </c>
      <c r="U21" s="33" t="s">
        <v>1062</v>
      </c>
    </row>
    <row r="22" spans="1:21" ht="12.75">
      <c r="A22" s="35" t="s">
        <v>1063</v>
      </c>
      <c r="B22" s="35" t="s">
        <v>1064</v>
      </c>
      <c r="C22" s="35" t="s">
        <v>1065</v>
      </c>
      <c r="D22" s="35" t="str">
        <f>"0,8026"</f>
        <v>0,8026</v>
      </c>
      <c r="E22" s="35" t="s">
        <v>112</v>
      </c>
      <c r="F22" s="35" t="s">
        <v>38</v>
      </c>
      <c r="G22" s="36" t="s">
        <v>391</v>
      </c>
      <c r="H22" s="36"/>
      <c r="I22" s="36"/>
      <c r="J22" s="36"/>
      <c r="K22" s="36" t="s">
        <v>392</v>
      </c>
      <c r="L22" s="36"/>
      <c r="M22" s="36"/>
      <c r="N22" s="36"/>
      <c r="O22" s="36" t="s">
        <v>395</v>
      </c>
      <c r="P22" s="36"/>
      <c r="Q22" s="36"/>
      <c r="R22" s="36"/>
      <c r="S22" s="35">
        <v>0</v>
      </c>
      <c r="T22" s="35" t="str">
        <f>"0,0000"</f>
        <v>0,0000</v>
      </c>
      <c r="U22" s="35" t="s">
        <v>41</v>
      </c>
    </row>
    <row r="23" spans="1:21" ht="12.75">
      <c r="A23" s="35" t="s">
        <v>1066</v>
      </c>
      <c r="B23" s="35" t="s">
        <v>1067</v>
      </c>
      <c r="C23" s="35" t="s">
        <v>1068</v>
      </c>
      <c r="D23" s="35" t="str">
        <f>"0,8159"</f>
        <v>0,8159</v>
      </c>
      <c r="E23" s="35" t="s">
        <v>1060</v>
      </c>
      <c r="F23" s="35" t="s">
        <v>1061</v>
      </c>
      <c r="G23" s="35" t="s">
        <v>394</v>
      </c>
      <c r="H23" s="36" t="s">
        <v>391</v>
      </c>
      <c r="I23" s="35" t="s">
        <v>395</v>
      </c>
      <c r="J23" s="36"/>
      <c r="K23" s="35" t="s">
        <v>403</v>
      </c>
      <c r="L23" s="35" t="s">
        <v>563</v>
      </c>
      <c r="M23" s="36" t="s">
        <v>400</v>
      </c>
      <c r="N23" s="36"/>
      <c r="O23" s="35" t="s">
        <v>428</v>
      </c>
      <c r="P23" s="35" t="s">
        <v>28</v>
      </c>
      <c r="Q23" s="35" t="s">
        <v>29</v>
      </c>
      <c r="R23" s="36"/>
      <c r="S23" s="35">
        <v>232.5</v>
      </c>
      <c r="T23" s="35" t="str">
        <f>"191,5937"</f>
        <v>191,5937</v>
      </c>
      <c r="U23" s="35" t="s">
        <v>1062</v>
      </c>
    </row>
    <row r="24" spans="1:21" ht="12.75">
      <c r="A24" s="35" t="s">
        <v>94</v>
      </c>
      <c r="B24" s="35" t="s">
        <v>95</v>
      </c>
      <c r="C24" s="35" t="s">
        <v>96</v>
      </c>
      <c r="D24" s="35" t="str">
        <f>"0,7893"</f>
        <v>0,7893</v>
      </c>
      <c r="E24" s="35" t="s">
        <v>97</v>
      </c>
      <c r="F24" s="35" t="s">
        <v>98</v>
      </c>
      <c r="G24" s="35" t="s">
        <v>391</v>
      </c>
      <c r="H24" s="35" t="s">
        <v>69</v>
      </c>
      <c r="I24" s="36" t="s">
        <v>20</v>
      </c>
      <c r="J24" s="36"/>
      <c r="K24" s="35" t="s">
        <v>393</v>
      </c>
      <c r="L24" s="35" t="s">
        <v>403</v>
      </c>
      <c r="M24" s="35" t="s">
        <v>407</v>
      </c>
      <c r="N24" s="36"/>
      <c r="O24" s="35" t="s">
        <v>30</v>
      </c>
      <c r="P24" s="35" t="s">
        <v>39</v>
      </c>
      <c r="Q24" s="35" t="s">
        <v>99</v>
      </c>
      <c r="R24" s="36"/>
      <c r="S24" s="35">
        <v>255</v>
      </c>
      <c r="T24" s="35" t="str">
        <f>"201,2588"</f>
        <v>201,2588</v>
      </c>
      <c r="U24" s="35" t="s">
        <v>101</v>
      </c>
    </row>
    <row r="25" spans="1:21" ht="12.75">
      <c r="A25" s="37" t="s">
        <v>1066</v>
      </c>
      <c r="B25" s="37" t="s">
        <v>1069</v>
      </c>
      <c r="C25" s="37" t="s">
        <v>1068</v>
      </c>
      <c r="D25" s="37" t="str">
        <f>"0,8159"</f>
        <v>0,8159</v>
      </c>
      <c r="E25" s="37" t="s">
        <v>1060</v>
      </c>
      <c r="F25" s="37" t="s">
        <v>1061</v>
      </c>
      <c r="G25" s="37" t="s">
        <v>394</v>
      </c>
      <c r="H25" s="37" t="s">
        <v>391</v>
      </c>
      <c r="I25" s="37" t="s">
        <v>395</v>
      </c>
      <c r="J25" s="38"/>
      <c r="K25" s="37" t="s">
        <v>403</v>
      </c>
      <c r="L25" s="37" t="s">
        <v>563</v>
      </c>
      <c r="M25" s="38" t="s">
        <v>400</v>
      </c>
      <c r="N25" s="38"/>
      <c r="O25" s="37" t="s">
        <v>428</v>
      </c>
      <c r="P25" s="37" t="s">
        <v>28</v>
      </c>
      <c r="Q25" s="37" t="s">
        <v>29</v>
      </c>
      <c r="R25" s="38"/>
      <c r="S25" s="37">
        <v>232.5</v>
      </c>
      <c r="T25" s="37" t="str">
        <f>"189,6968"</f>
        <v>189,6968</v>
      </c>
      <c r="U25" s="37" t="s">
        <v>1062</v>
      </c>
    </row>
    <row r="27" spans="1:20" ht="15">
      <c r="A27" s="62" t="s">
        <v>108</v>
      </c>
      <c r="B27" s="62"/>
      <c r="C27" s="62"/>
      <c r="D27" s="62"/>
      <c r="E27" s="62"/>
      <c r="F27" s="62"/>
      <c r="G27" s="62"/>
      <c r="H27" s="62"/>
      <c r="I27" s="62"/>
      <c r="J27" s="62"/>
      <c r="K27" s="62"/>
      <c r="L27" s="62"/>
      <c r="M27" s="62"/>
      <c r="N27" s="62"/>
      <c r="O27" s="62"/>
      <c r="P27" s="62"/>
      <c r="Q27" s="62"/>
      <c r="R27" s="62"/>
      <c r="S27" s="62"/>
      <c r="T27" s="62"/>
    </row>
    <row r="28" spans="1:21" ht="12.75">
      <c r="A28" s="33" t="s">
        <v>1070</v>
      </c>
      <c r="B28" s="33" t="s">
        <v>1071</v>
      </c>
      <c r="C28" s="33" t="s">
        <v>137</v>
      </c>
      <c r="D28" s="33" t="str">
        <f>"0,7290"</f>
        <v>0,7290</v>
      </c>
      <c r="E28" s="33" t="s">
        <v>399</v>
      </c>
      <c r="F28" s="33" t="s">
        <v>389</v>
      </c>
      <c r="G28" s="33" t="s">
        <v>407</v>
      </c>
      <c r="H28" s="33" t="s">
        <v>390</v>
      </c>
      <c r="I28" s="33" t="s">
        <v>394</v>
      </c>
      <c r="J28" s="34"/>
      <c r="K28" s="33" t="s">
        <v>392</v>
      </c>
      <c r="L28" s="33" t="s">
        <v>402</v>
      </c>
      <c r="M28" s="34" t="s">
        <v>524</v>
      </c>
      <c r="N28" s="34"/>
      <c r="O28" s="33" t="s">
        <v>391</v>
      </c>
      <c r="P28" s="33" t="s">
        <v>69</v>
      </c>
      <c r="Q28" s="34"/>
      <c r="R28" s="34"/>
      <c r="S28" s="33">
        <v>185</v>
      </c>
      <c r="T28" s="33" t="str">
        <f>"152,3870"</f>
        <v>152,3870</v>
      </c>
      <c r="U28" s="33" t="s">
        <v>1072</v>
      </c>
    </row>
    <row r="29" spans="1:21" ht="12.75">
      <c r="A29" s="37" t="s">
        <v>1073</v>
      </c>
      <c r="B29" s="37" t="s">
        <v>1074</v>
      </c>
      <c r="C29" s="37" t="s">
        <v>1075</v>
      </c>
      <c r="D29" s="37" t="str">
        <f>"0,7434"</f>
        <v>0,7434</v>
      </c>
      <c r="E29" s="37" t="s">
        <v>1076</v>
      </c>
      <c r="F29" s="37" t="s">
        <v>1077</v>
      </c>
      <c r="G29" s="37" t="s">
        <v>70</v>
      </c>
      <c r="H29" s="37" t="s">
        <v>428</v>
      </c>
      <c r="I29" s="37" t="s">
        <v>432</v>
      </c>
      <c r="J29" s="38"/>
      <c r="K29" s="37" t="s">
        <v>390</v>
      </c>
      <c r="L29" s="37" t="s">
        <v>391</v>
      </c>
      <c r="M29" s="38" t="s">
        <v>395</v>
      </c>
      <c r="N29" s="38"/>
      <c r="O29" s="37" t="s">
        <v>28</v>
      </c>
      <c r="P29" s="37" t="s">
        <v>30</v>
      </c>
      <c r="Q29" s="37" t="s">
        <v>48</v>
      </c>
      <c r="R29" s="38"/>
      <c r="S29" s="37">
        <v>287.5</v>
      </c>
      <c r="T29" s="37" t="str">
        <f>"213,7419"</f>
        <v>213,7419</v>
      </c>
      <c r="U29" s="37" t="s">
        <v>49</v>
      </c>
    </row>
    <row r="31" spans="1:20" ht="15">
      <c r="A31" s="62" t="s">
        <v>152</v>
      </c>
      <c r="B31" s="62"/>
      <c r="C31" s="62"/>
      <c r="D31" s="62"/>
      <c r="E31" s="62"/>
      <c r="F31" s="62"/>
      <c r="G31" s="62"/>
      <c r="H31" s="62"/>
      <c r="I31" s="62"/>
      <c r="J31" s="62"/>
      <c r="K31" s="62"/>
      <c r="L31" s="62"/>
      <c r="M31" s="62"/>
      <c r="N31" s="62"/>
      <c r="O31" s="62"/>
      <c r="P31" s="62"/>
      <c r="Q31" s="62"/>
      <c r="R31" s="62"/>
      <c r="S31" s="62"/>
      <c r="T31" s="62"/>
    </row>
    <row r="32" spans="1:21" ht="12.75">
      <c r="A32" s="31" t="s">
        <v>1078</v>
      </c>
      <c r="B32" s="31" t="s">
        <v>1079</v>
      </c>
      <c r="C32" s="31" t="s">
        <v>1080</v>
      </c>
      <c r="D32" s="31" t="str">
        <f>"0,7084"</f>
        <v>0,7084</v>
      </c>
      <c r="E32" s="31" t="s">
        <v>26</v>
      </c>
      <c r="F32" s="31" t="s">
        <v>27</v>
      </c>
      <c r="G32" s="32" t="s">
        <v>28</v>
      </c>
      <c r="H32" s="32" t="s">
        <v>28</v>
      </c>
      <c r="I32" s="32" t="s">
        <v>28</v>
      </c>
      <c r="J32" s="32"/>
      <c r="K32" s="32" t="s">
        <v>409</v>
      </c>
      <c r="L32" s="32"/>
      <c r="M32" s="32"/>
      <c r="N32" s="32"/>
      <c r="O32" s="32" t="s">
        <v>30</v>
      </c>
      <c r="P32" s="32"/>
      <c r="Q32" s="32"/>
      <c r="R32" s="32"/>
      <c r="S32" s="31">
        <v>0</v>
      </c>
      <c r="T32" s="31" t="str">
        <f>"0,0000"</f>
        <v>0,0000</v>
      </c>
      <c r="U32" s="31" t="s">
        <v>1081</v>
      </c>
    </row>
    <row r="34" spans="1:20" ht="15">
      <c r="A34" s="62" t="s">
        <v>73</v>
      </c>
      <c r="B34" s="62"/>
      <c r="C34" s="62"/>
      <c r="D34" s="62"/>
      <c r="E34" s="62"/>
      <c r="F34" s="62"/>
      <c r="G34" s="62"/>
      <c r="H34" s="62"/>
      <c r="I34" s="62"/>
      <c r="J34" s="62"/>
      <c r="K34" s="62"/>
      <c r="L34" s="62"/>
      <c r="M34" s="62"/>
      <c r="N34" s="62"/>
      <c r="O34" s="62"/>
      <c r="P34" s="62"/>
      <c r="Q34" s="62"/>
      <c r="R34" s="62"/>
      <c r="S34" s="62"/>
      <c r="T34" s="62"/>
    </row>
    <row r="35" spans="1:21" ht="12.75">
      <c r="A35" s="31" t="s">
        <v>1082</v>
      </c>
      <c r="B35" s="31" t="s">
        <v>1083</v>
      </c>
      <c r="C35" s="31" t="s">
        <v>1084</v>
      </c>
      <c r="D35" s="31" t="str">
        <f>"0,8748"</f>
        <v>0,8748</v>
      </c>
      <c r="E35" s="31" t="s">
        <v>37</v>
      </c>
      <c r="F35" s="31" t="s">
        <v>38</v>
      </c>
      <c r="G35" s="31" t="s">
        <v>395</v>
      </c>
      <c r="H35" s="32" t="s">
        <v>20</v>
      </c>
      <c r="I35" s="31" t="s">
        <v>70</v>
      </c>
      <c r="J35" s="32"/>
      <c r="K35" s="31" t="s">
        <v>390</v>
      </c>
      <c r="L35" s="31" t="s">
        <v>394</v>
      </c>
      <c r="M35" s="32" t="s">
        <v>391</v>
      </c>
      <c r="N35" s="32"/>
      <c r="O35" s="31" t="s">
        <v>39</v>
      </c>
      <c r="P35" s="31" t="s">
        <v>62</v>
      </c>
      <c r="Q35" s="32" t="s">
        <v>55</v>
      </c>
      <c r="R35" s="32"/>
      <c r="S35" s="31">
        <v>285</v>
      </c>
      <c r="T35" s="31" t="str">
        <f>"306,6611"</f>
        <v>306,6611</v>
      </c>
      <c r="U35" s="31" t="s">
        <v>41</v>
      </c>
    </row>
    <row r="37" spans="1:20" ht="15">
      <c r="A37" s="62" t="s">
        <v>93</v>
      </c>
      <c r="B37" s="62"/>
      <c r="C37" s="62"/>
      <c r="D37" s="62"/>
      <c r="E37" s="62"/>
      <c r="F37" s="62"/>
      <c r="G37" s="62"/>
      <c r="H37" s="62"/>
      <c r="I37" s="62"/>
      <c r="J37" s="62"/>
      <c r="K37" s="62"/>
      <c r="L37" s="62"/>
      <c r="M37" s="62"/>
      <c r="N37" s="62"/>
      <c r="O37" s="62"/>
      <c r="P37" s="62"/>
      <c r="Q37" s="62"/>
      <c r="R37" s="62"/>
      <c r="S37" s="62"/>
      <c r="T37" s="62"/>
    </row>
    <row r="38" spans="1:21" ht="12.75">
      <c r="A38" s="33" t="s">
        <v>1085</v>
      </c>
      <c r="B38" s="33" t="s">
        <v>1086</v>
      </c>
      <c r="C38" s="33" t="s">
        <v>1087</v>
      </c>
      <c r="D38" s="33" t="str">
        <f>"0,7509"</f>
        <v>0,7509</v>
      </c>
      <c r="E38" s="33" t="s">
        <v>399</v>
      </c>
      <c r="F38" s="33" t="s">
        <v>389</v>
      </c>
      <c r="G38" s="33" t="s">
        <v>48</v>
      </c>
      <c r="H38" s="33" t="s">
        <v>39</v>
      </c>
      <c r="I38" s="33" t="s">
        <v>62</v>
      </c>
      <c r="J38" s="34"/>
      <c r="K38" s="33" t="s">
        <v>390</v>
      </c>
      <c r="L38" s="33" t="s">
        <v>394</v>
      </c>
      <c r="M38" s="33" t="s">
        <v>391</v>
      </c>
      <c r="N38" s="34"/>
      <c r="O38" s="33" t="s">
        <v>99</v>
      </c>
      <c r="P38" s="33" t="s">
        <v>54</v>
      </c>
      <c r="Q38" s="33" t="s">
        <v>465</v>
      </c>
      <c r="R38" s="34"/>
      <c r="S38" s="33">
        <v>347.5</v>
      </c>
      <c r="T38" s="33" t="str">
        <f>"307,8861"</f>
        <v>307,8861</v>
      </c>
      <c r="U38" s="33" t="s">
        <v>1072</v>
      </c>
    </row>
    <row r="39" spans="1:21" ht="12.75">
      <c r="A39" s="35" t="s">
        <v>1088</v>
      </c>
      <c r="B39" s="35" t="s">
        <v>1089</v>
      </c>
      <c r="C39" s="35" t="s">
        <v>1090</v>
      </c>
      <c r="D39" s="35" t="str">
        <f>"0,7524"</f>
        <v>0,7524</v>
      </c>
      <c r="E39" s="35" t="s">
        <v>37</v>
      </c>
      <c r="F39" s="35" t="s">
        <v>38</v>
      </c>
      <c r="G39" s="36" t="s">
        <v>274</v>
      </c>
      <c r="H39" s="35" t="s">
        <v>274</v>
      </c>
      <c r="I39" s="36" t="s">
        <v>275</v>
      </c>
      <c r="J39" s="36"/>
      <c r="K39" s="35" t="s">
        <v>70</v>
      </c>
      <c r="L39" s="36" t="s">
        <v>414</v>
      </c>
      <c r="M39" s="35" t="s">
        <v>414</v>
      </c>
      <c r="N39" s="36"/>
      <c r="O39" s="35" t="s">
        <v>274</v>
      </c>
      <c r="P39" s="35" t="s">
        <v>466</v>
      </c>
      <c r="Q39" s="35" t="s">
        <v>275</v>
      </c>
      <c r="R39" s="36"/>
      <c r="S39" s="35">
        <v>417.5</v>
      </c>
      <c r="T39" s="35" t="str">
        <f>"354,9635"</f>
        <v>354,9635</v>
      </c>
      <c r="U39" s="35" t="s">
        <v>41</v>
      </c>
    </row>
    <row r="40" spans="1:21" ht="12.75">
      <c r="A40" s="35" t="s">
        <v>1091</v>
      </c>
      <c r="B40" s="35" t="s">
        <v>1092</v>
      </c>
      <c r="C40" s="35" t="s">
        <v>1093</v>
      </c>
      <c r="D40" s="35" t="str">
        <f>"0,7481"</f>
        <v>0,7481</v>
      </c>
      <c r="E40" s="35" t="s">
        <v>399</v>
      </c>
      <c r="F40" s="35" t="s">
        <v>389</v>
      </c>
      <c r="G40" s="35" t="s">
        <v>63</v>
      </c>
      <c r="H40" s="35" t="s">
        <v>55</v>
      </c>
      <c r="I40" s="36" t="s">
        <v>438</v>
      </c>
      <c r="J40" s="36"/>
      <c r="K40" s="35" t="s">
        <v>70</v>
      </c>
      <c r="L40" s="35" t="s">
        <v>28</v>
      </c>
      <c r="M40" s="36" t="s">
        <v>29</v>
      </c>
      <c r="N40" s="36"/>
      <c r="O40" s="36" t="s">
        <v>274</v>
      </c>
      <c r="P40" s="36" t="s">
        <v>433</v>
      </c>
      <c r="Q40" s="36" t="s">
        <v>139</v>
      </c>
      <c r="R40" s="36"/>
      <c r="S40" s="35">
        <v>0</v>
      </c>
      <c r="T40" s="35" t="str">
        <f>"0,0000"</f>
        <v>0,0000</v>
      </c>
      <c r="U40" s="35" t="s">
        <v>1072</v>
      </c>
    </row>
    <row r="41" spans="1:21" ht="12.75">
      <c r="A41" s="37" t="s">
        <v>1094</v>
      </c>
      <c r="B41" s="37" t="s">
        <v>1095</v>
      </c>
      <c r="C41" s="37" t="s">
        <v>1096</v>
      </c>
      <c r="D41" s="37" t="str">
        <f>"0,7717"</f>
        <v>0,7717</v>
      </c>
      <c r="E41" s="37" t="s">
        <v>399</v>
      </c>
      <c r="F41" s="37" t="s">
        <v>389</v>
      </c>
      <c r="G41" s="37" t="s">
        <v>62</v>
      </c>
      <c r="H41" s="37" t="s">
        <v>54</v>
      </c>
      <c r="I41" s="37" t="s">
        <v>63</v>
      </c>
      <c r="J41" s="38"/>
      <c r="K41" s="37" t="s">
        <v>69</v>
      </c>
      <c r="L41" s="37" t="s">
        <v>20</v>
      </c>
      <c r="M41" s="38" t="s">
        <v>70</v>
      </c>
      <c r="N41" s="38"/>
      <c r="O41" s="37" t="s">
        <v>274</v>
      </c>
      <c r="P41" s="37" t="s">
        <v>275</v>
      </c>
      <c r="Q41" s="38" t="s">
        <v>139</v>
      </c>
      <c r="R41" s="38"/>
      <c r="S41" s="37">
        <v>390</v>
      </c>
      <c r="T41" s="37" t="str">
        <f>"319,0208"</f>
        <v>319,0208</v>
      </c>
      <c r="U41" s="37" t="s">
        <v>1072</v>
      </c>
    </row>
    <row r="43" spans="1:20" ht="15">
      <c r="A43" s="62" t="s">
        <v>108</v>
      </c>
      <c r="B43" s="62"/>
      <c r="C43" s="62"/>
      <c r="D43" s="62"/>
      <c r="E43" s="62"/>
      <c r="F43" s="62"/>
      <c r="G43" s="62"/>
      <c r="H43" s="62"/>
      <c r="I43" s="62"/>
      <c r="J43" s="62"/>
      <c r="K43" s="62"/>
      <c r="L43" s="62"/>
      <c r="M43" s="62"/>
      <c r="N43" s="62"/>
      <c r="O43" s="62"/>
      <c r="P43" s="62"/>
      <c r="Q43" s="62"/>
      <c r="R43" s="62"/>
      <c r="S43" s="62"/>
      <c r="T43" s="62"/>
    </row>
    <row r="44" spans="1:21" ht="12.75">
      <c r="A44" s="33" t="s">
        <v>1097</v>
      </c>
      <c r="B44" s="33" t="s">
        <v>1098</v>
      </c>
      <c r="C44" s="33" t="s">
        <v>111</v>
      </c>
      <c r="D44" s="33" t="str">
        <f>"0,6645"</f>
        <v>0,6645</v>
      </c>
      <c r="E44" s="33" t="s">
        <v>37</v>
      </c>
      <c r="F44" s="33" t="s">
        <v>38</v>
      </c>
      <c r="G44" s="33" t="s">
        <v>124</v>
      </c>
      <c r="H44" s="33" t="s">
        <v>218</v>
      </c>
      <c r="I44" s="34" t="s">
        <v>219</v>
      </c>
      <c r="J44" s="34"/>
      <c r="K44" s="34" t="s">
        <v>48</v>
      </c>
      <c r="L44" s="33" t="s">
        <v>48</v>
      </c>
      <c r="M44" s="34"/>
      <c r="N44" s="34"/>
      <c r="O44" s="33" t="s">
        <v>218</v>
      </c>
      <c r="P44" s="33" t="s">
        <v>231</v>
      </c>
      <c r="Q44" s="34" t="s">
        <v>199</v>
      </c>
      <c r="R44" s="34"/>
      <c r="S44" s="33">
        <v>525</v>
      </c>
      <c r="T44" s="33" t="str">
        <f>"376,7715"</f>
        <v>376,7715</v>
      </c>
      <c r="U44" s="33" t="s">
        <v>41</v>
      </c>
    </row>
    <row r="45" spans="1:21" ht="12.75">
      <c r="A45" s="35" t="s">
        <v>109</v>
      </c>
      <c r="B45" s="35" t="s">
        <v>110</v>
      </c>
      <c r="C45" s="35" t="s">
        <v>111</v>
      </c>
      <c r="D45" s="35" t="str">
        <f>"0,6645"</f>
        <v>0,6645</v>
      </c>
      <c r="E45" s="35" t="s">
        <v>112</v>
      </c>
      <c r="F45" s="35" t="s">
        <v>38</v>
      </c>
      <c r="G45" s="35" t="s">
        <v>139</v>
      </c>
      <c r="H45" s="35" t="s">
        <v>434</v>
      </c>
      <c r="I45" s="36" t="s">
        <v>709</v>
      </c>
      <c r="J45" s="36"/>
      <c r="K45" s="35" t="s">
        <v>28</v>
      </c>
      <c r="L45" s="35" t="s">
        <v>29</v>
      </c>
      <c r="M45" s="36" t="s">
        <v>30</v>
      </c>
      <c r="N45" s="36"/>
      <c r="O45" s="35" t="s">
        <v>113</v>
      </c>
      <c r="P45" s="35" t="s">
        <v>114</v>
      </c>
      <c r="Q45" s="35" t="s">
        <v>115</v>
      </c>
      <c r="R45" s="36"/>
      <c r="S45" s="35">
        <v>518.5</v>
      </c>
      <c r="T45" s="35" t="str">
        <f>"372,1067"</f>
        <v>372,1067</v>
      </c>
      <c r="U45" s="35" t="s">
        <v>41</v>
      </c>
    </row>
    <row r="46" spans="1:21" ht="12.75">
      <c r="A46" s="35" t="s">
        <v>1099</v>
      </c>
      <c r="B46" s="35" t="s">
        <v>1100</v>
      </c>
      <c r="C46" s="35" t="s">
        <v>1101</v>
      </c>
      <c r="D46" s="35" t="str">
        <f>"0,6789"</f>
        <v>0,6789</v>
      </c>
      <c r="E46" s="35" t="s">
        <v>1102</v>
      </c>
      <c r="F46" s="35" t="s">
        <v>27</v>
      </c>
      <c r="G46" s="35" t="s">
        <v>150</v>
      </c>
      <c r="H46" s="35" t="s">
        <v>123</v>
      </c>
      <c r="I46" s="36" t="s">
        <v>146</v>
      </c>
      <c r="J46" s="36"/>
      <c r="K46" s="35" t="s">
        <v>30</v>
      </c>
      <c r="L46" s="35" t="s">
        <v>48</v>
      </c>
      <c r="M46" s="35" t="s">
        <v>39</v>
      </c>
      <c r="N46" s="36"/>
      <c r="O46" s="35" t="s">
        <v>150</v>
      </c>
      <c r="P46" s="36" t="s">
        <v>146</v>
      </c>
      <c r="Q46" s="35" t="s">
        <v>146</v>
      </c>
      <c r="R46" s="36"/>
      <c r="S46" s="35">
        <v>485</v>
      </c>
      <c r="T46" s="35" t="str">
        <f>"335,8518"</f>
        <v>335,8518</v>
      </c>
      <c r="U46" s="35" t="s">
        <v>1103</v>
      </c>
    </row>
    <row r="47" spans="1:21" ht="12.75">
      <c r="A47" s="35" t="s">
        <v>1104</v>
      </c>
      <c r="B47" s="35" t="s">
        <v>1105</v>
      </c>
      <c r="C47" s="35" t="s">
        <v>1106</v>
      </c>
      <c r="D47" s="35" t="str">
        <f>"0,6797"</f>
        <v>0,6797</v>
      </c>
      <c r="E47" s="35" t="s">
        <v>26</v>
      </c>
      <c r="F47" s="35" t="s">
        <v>27</v>
      </c>
      <c r="G47" s="35" t="s">
        <v>39</v>
      </c>
      <c r="H47" s="36" t="s">
        <v>99</v>
      </c>
      <c r="I47" s="35" t="s">
        <v>552</v>
      </c>
      <c r="J47" s="36"/>
      <c r="K47" s="36" t="s">
        <v>428</v>
      </c>
      <c r="L47" s="35" t="s">
        <v>47</v>
      </c>
      <c r="M47" s="36" t="s">
        <v>79</v>
      </c>
      <c r="N47" s="36"/>
      <c r="O47" s="35" t="s">
        <v>63</v>
      </c>
      <c r="P47" s="35" t="s">
        <v>274</v>
      </c>
      <c r="Q47" s="36" t="s">
        <v>433</v>
      </c>
      <c r="R47" s="36"/>
      <c r="S47" s="35">
        <v>390</v>
      </c>
      <c r="T47" s="35" t="str">
        <f>"267,7338"</f>
        <v>267,7338</v>
      </c>
      <c r="U47" s="35" t="s">
        <v>49</v>
      </c>
    </row>
    <row r="48" spans="1:21" ht="12.75">
      <c r="A48" s="35" t="s">
        <v>1107</v>
      </c>
      <c r="B48" s="35" t="s">
        <v>1108</v>
      </c>
      <c r="C48" s="35" t="s">
        <v>1109</v>
      </c>
      <c r="D48" s="35" t="str">
        <f>"0,6923"</f>
        <v>0,6923</v>
      </c>
      <c r="E48" s="35" t="s">
        <v>1110</v>
      </c>
      <c r="F48" s="35" t="s">
        <v>27</v>
      </c>
      <c r="G48" s="35" t="s">
        <v>433</v>
      </c>
      <c r="H48" s="36" t="s">
        <v>275</v>
      </c>
      <c r="I48" s="36" t="s">
        <v>139</v>
      </c>
      <c r="J48" s="36"/>
      <c r="K48" s="35" t="s">
        <v>28</v>
      </c>
      <c r="L48" s="35" t="s">
        <v>47</v>
      </c>
      <c r="M48" s="35" t="s">
        <v>79</v>
      </c>
      <c r="N48" s="36"/>
      <c r="O48" s="35" t="s">
        <v>124</v>
      </c>
      <c r="P48" s="36" t="s">
        <v>1111</v>
      </c>
      <c r="Q48" s="35" t="s">
        <v>851</v>
      </c>
      <c r="R48" s="36"/>
      <c r="S48" s="35">
        <v>485</v>
      </c>
      <c r="T48" s="35" t="str">
        <f>"335,7655"</f>
        <v>335,7655</v>
      </c>
      <c r="U48" s="35" t="s">
        <v>1112</v>
      </c>
    </row>
    <row r="49" spans="1:21" ht="12.75">
      <c r="A49" s="35" t="s">
        <v>1113</v>
      </c>
      <c r="B49" s="35" t="s">
        <v>1114</v>
      </c>
      <c r="C49" s="35" t="s">
        <v>1115</v>
      </c>
      <c r="D49" s="35" t="str">
        <f>"0,6733"</f>
        <v>0,6733</v>
      </c>
      <c r="E49" s="35" t="s">
        <v>149</v>
      </c>
      <c r="F49" s="35" t="s">
        <v>27</v>
      </c>
      <c r="G49" s="35" t="s">
        <v>55</v>
      </c>
      <c r="H49" s="35" t="s">
        <v>274</v>
      </c>
      <c r="I49" s="36" t="s">
        <v>433</v>
      </c>
      <c r="J49" s="36"/>
      <c r="K49" s="35" t="s">
        <v>30</v>
      </c>
      <c r="L49" s="35" t="s">
        <v>48</v>
      </c>
      <c r="M49" s="35" t="s">
        <v>39</v>
      </c>
      <c r="N49" s="36"/>
      <c r="O49" s="35" t="s">
        <v>275</v>
      </c>
      <c r="P49" s="35" t="s">
        <v>150</v>
      </c>
      <c r="Q49" s="35" t="s">
        <v>123</v>
      </c>
      <c r="R49" s="36"/>
      <c r="S49" s="35">
        <v>455</v>
      </c>
      <c r="T49" s="35" t="str">
        <f>"306,3742"</f>
        <v>306,3742</v>
      </c>
      <c r="U49" s="35" t="s">
        <v>698</v>
      </c>
    </row>
    <row r="50" spans="1:21" ht="12.75">
      <c r="A50" s="37" t="s">
        <v>1116</v>
      </c>
      <c r="B50" s="37" t="s">
        <v>1117</v>
      </c>
      <c r="C50" s="37" t="s">
        <v>1118</v>
      </c>
      <c r="D50" s="37" t="str">
        <f>"0,6972"</f>
        <v>0,6972</v>
      </c>
      <c r="E50" s="37" t="s">
        <v>26</v>
      </c>
      <c r="F50" s="37" t="s">
        <v>27</v>
      </c>
      <c r="G50" s="37" t="s">
        <v>29</v>
      </c>
      <c r="H50" s="38" t="s">
        <v>48</v>
      </c>
      <c r="I50" s="37" t="s">
        <v>48</v>
      </c>
      <c r="J50" s="38"/>
      <c r="K50" s="37" t="s">
        <v>395</v>
      </c>
      <c r="L50" s="38" t="s">
        <v>590</v>
      </c>
      <c r="M50" s="38" t="s">
        <v>590</v>
      </c>
      <c r="N50" s="38"/>
      <c r="O50" s="37" t="s">
        <v>55</v>
      </c>
      <c r="P50" s="37" t="s">
        <v>274</v>
      </c>
      <c r="Q50" s="37" t="s">
        <v>275</v>
      </c>
      <c r="R50" s="38"/>
      <c r="S50" s="37">
        <v>355</v>
      </c>
      <c r="T50" s="37" t="str">
        <f>"247,5060"</f>
        <v>247,5060</v>
      </c>
      <c r="U50" s="37" t="s">
        <v>1119</v>
      </c>
    </row>
    <row r="52" spans="1:20" ht="15">
      <c r="A52" s="62" t="s">
        <v>152</v>
      </c>
      <c r="B52" s="62"/>
      <c r="C52" s="62"/>
      <c r="D52" s="62"/>
      <c r="E52" s="62"/>
      <c r="F52" s="62"/>
      <c r="G52" s="62"/>
      <c r="H52" s="62"/>
      <c r="I52" s="62"/>
      <c r="J52" s="62"/>
      <c r="K52" s="62"/>
      <c r="L52" s="62"/>
      <c r="M52" s="62"/>
      <c r="N52" s="62"/>
      <c r="O52" s="62"/>
      <c r="P52" s="62"/>
      <c r="Q52" s="62"/>
      <c r="R52" s="62"/>
      <c r="S52" s="62"/>
      <c r="T52" s="62"/>
    </row>
    <row r="53" spans="1:21" ht="12.75">
      <c r="A53" s="33" t="s">
        <v>1120</v>
      </c>
      <c r="B53" s="33" t="s">
        <v>1121</v>
      </c>
      <c r="C53" s="33" t="s">
        <v>1122</v>
      </c>
      <c r="D53" s="33" t="str">
        <f>"0,6230"</f>
        <v>0,6230</v>
      </c>
      <c r="E53" s="33" t="s">
        <v>1123</v>
      </c>
      <c r="F53" s="33" t="s">
        <v>1124</v>
      </c>
      <c r="G53" s="33" t="s">
        <v>275</v>
      </c>
      <c r="H53" s="33" t="s">
        <v>150</v>
      </c>
      <c r="I53" s="33" t="s">
        <v>123</v>
      </c>
      <c r="J53" s="34"/>
      <c r="K53" s="33" t="s">
        <v>30</v>
      </c>
      <c r="L53" s="33" t="s">
        <v>39</v>
      </c>
      <c r="M53" s="33" t="s">
        <v>99</v>
      </c>
      <c r="N53" s="34"/>
      <c r="O53" s="33" t="s">
        <v>150</v>
      </c>
      <c r="P53" s="33" t="s">
        <v>252</v>
      </c>
      <c r="Q53" s="34" t="s">
        <v>125</v>
      </c>
      <c r="R53" s="34"/>
      <c r="S53" s="33">
        <v>500</v>
      </c>
      <c r="T53" s="33" t="str">
        <f>"330,1900"</f>
        <v>330,1900</v>
      </c>
      <c r="U53" s="33" t="s">
        <v>1125</v>
      </c>
    </row>
    <row r="54" spans="1:21" ht="12.75">
      <c r="A54" s="35" t="s">
        <v>1126</v>
      </c>
      <c r="B54" s="35" t="s">
        <v>1127</v>
      </c>
      <c r="C54" s="35" t="s">
        <v>1128</v>
      </c>
      <c r="D54" s="35" t="str">
        <f>"0,6352"</f>
        <v>0,6352</v>
      </c>
      <c r="E54" s="35" t="s">
        <v>224</v>
      </c>
      <c r="F54" s="35" t="s">
        <v>225</v>
      </c>
      <c r="G54" s="35" t="s">
        <v>218</v>
      </c>
      <c r="H54" s="35" t="s">
        <v>231</v>
      </c>
      <c r="I54" s="36" t="s">
        <v>198</v>
      </c>
      <c r="J54" s="36"/>
      <c r="K54" s="35" t="s">
        <v>28</v>
      </c>
      <c r="L54" s="35" t="s">
        <v>48</v>
      </c>
      <c r="M54" s="36" t="s">
        <v>99</v>
      </c>
      <c r="N54" s="36"/>
      <c r="O54" s="35" t="s">
        <v>433</v>
      </c>
      <c r="P54" s="35" t="s">
        <v>150</v>
      </c>
      <c r="Q54" s="35" t="s">
        <v>124</v>
      </c>
      <c r="R54" s="36"/>
      <c r="S54" s="35">
        <v>515</v>
      </c>
      <c r="T54" s="35" t="str">
        <f>"333,6706"</f>
        <v>333,6706</v>
      </c>
      <c r="U54" s="35" t="s">
        <v>1129</v>
      </c>
    </row>
    <row r="55" spans="1:21" ht="12.75">
      <c r="A55" s="35" t="s">
        <v>159</v>
      </c>
      <c r="B55" s="35" t="s">
        <v>160</v>
      </c>
      <c r="C55" s="35" t="s">
        <v>161</v>
      </c>
      <c r="D55" s="35" t="str">
        <f>"0,6257"</f>
        <v>0,6257</v>
      </c>
      <c r="E55" s="35" t="s">
        <v>68</v>
      </c>
      <c r="F55" s="35" t="s">
        <v>27</v>
      </c>
      <c r="G55" s="35" t="s">
        <v>433</v>
      </c>
      <c r="H55" s="36" t="s">
        <v>139</v>
      </c>
      <c r="I55" s="36" t="s">
        <v>139</v>
      </c>
      <c r="J55" s="36"/>
      <c r="K55" s="36" t="s">
        <v>99</v>
      </c>
      <c r="L55" s="35" t="s">
        <v>99</v>
      </c>
      <c r="M55" s="36" t="s">
        <v>62</v>
      </c>
      <c r="N55" s="36"/>
      <c r="O55" s="35" t="s">
        <v>162</v>
      </c>
      <c r="P55" s="36" t="s">
        <v>163</v>
      </c>
      <c r="Q55" s="36" t="s">
        <v>163</v>
      </c>
      <c r="R55" s="36"/>
      <c r="S55" s="35">
        <v>515</v>
      </c>
      <c r="T55" s="35" t="str">
        <f>"322,2355"</f>
        <v>322,2355</v>
      </c>
      <c r="U55" s="35" t="s">
        <v>49</v>
      </c>
    </row>
    <row r="56" spans="1:21" ht="12.75">
      <c r="A56" s="35" t="s">
        <v>1130</v>
      </c>
      <c r="B56" s="35" t="s">
        <v>1131</v>
      </c>
      <c r="C56" s="35" t="s">
        <v>1132</v>
      </c>
      <c r="D56" s="35" t="str">
        <f>"0,6214"</f>
        <v>0,6214</v>
      </c>
      <c r="E56" s="35" t="s">
        <v>26</v>
      </c>
      <c r="F56" s="35" t="s">
        <v>27</v>
      </c>
      <c r="G56" s="35" t="s">
        <v>123</v>
      </c>
      <c r="H56" s="36" t="s">
        <v>218</v>
      </c>
      <c r="I56" s="36" t="s">
        <v>218</v>
      </c>
      <c r="J56" s="36"/>
      <c r="K56" s="35" t="s">
        <v>30</v>
      </c>
      <c r="L56" s="36" t="s">
        <v>39</v>
      </c>
      <c r="M56" s="36"/>
      <c r="N56" s="36"/>
      <c r="O56" s="35" t="s">
        <v>231</v>
      </c>
      <c r="P56" s="36" t="s">
        <v>113</v>
      </c>
      <c r="Q56" s="36" t="s">
        <v>122</v>
      </c>
      <c r="R56" s="36"/>
      <c r="S56" s="35">
        <v>500</v>
      </c>
      <c r="T56" s="35" t="str">
        <f>"310,7000"</f>
        <v>310,7000</v>
      </c>
      <c r="U56" s="35" t="s">
        <v>142</v>
      </c>
    </row>
    <row r="57" spans="1:21" ht="12.75">
      <c r="A57" s="35" t="s">
        <v>456</v>
      </c>
      <c r="B57" s="35" t="s">
        <v>1133</v>
      </c>
      <c r="C57" s="35" t="s">
        <v>1134</v>
      </c>
      <c r="D57" s="35" t="str">
        <f>"0,6268"</f>
        <v>0,6268</v>
      </c>
      <c r="E57" s="35" t="s">
        <v>68</v>
      </c>
      <c r="F57" s="35" t="s">
        <v>27</v>
      </c>
      <c r="G57" s="35" t="s">
        <v>274</v>
      </c>
      <c r="H57" s="35" t="s">
        <v>275</v>
      </c>
      <c r="I57" s="35" t="s">
        <v>139</v>
      </c>
      <c r="J57" s="36"/>
      <c r="K57" s="35" t="s">
        <v>48</v>
      </c>
      <c r="L57" s="35" t="s">
        <v>39</v>
      </c>
      <c r="M57" s="36" t="s">
        <v>99</v>
      </c>
      <c r="N57" s="36"/>
      <c r="O57" s="35" t="s">
        <v>139</v>
      </c>
      <c r="P57" s="35" t="s">
        <v>123</v>
      </c>
      <c r="Q57" s="35" t="s">
        <v>124</v>
      </c>
      <c r="R57" s="36"/>
      <c r="S57" s="35">
        <v>480</v>
      </c>
      <c r="T57" s="35" t="str">
        <f>"300,8640"</f>
        <v>300,8640</v>
      </c>
      <c r="U57" s="35" t="s">
        <v>49</v>
      </c>
    </row>
    <row r="58" spans="1:21" ht="12.75">
      <c r="A58" s="35" t="s">
        <v>174</v>
      </c>
      <c r="B58" s="35" t="s">
        <v>175</v>
      </c>
      <c r="C58" s="35" t="s">
        <v>176</v>
      </c>
      <c r="D58" s="35" t="str">
        <f>"0,6248"</f>
        <v>0,6248</v>
      </c>
      <c r="E58" s="35" t="s">
        <v>26</v>
      </c>
      <c r="F58" s="35" t="s">
        <v>27</v>
      </c>
      <c r="G58" s="35" t="s">
        <v>63</v>
      </c>
      <c r="H58" s="36" t="s">
        <v>438</v>
      </c>
      <c r="I58" s="35" t="s">
        <v>274</v>
      </c>
      <c r="J58" s="36"/>
      <c r="K58" s="36" t="s">
        <v>428</v>
      </c>
      <c r="L58" s="36" t="s">
        <v>428</v>
      </c>
      <c r="M58" s="35" t="s">
        <v>428</v>
      </c>
      <c r="N58" s="36"/>
      <c r="O58" s="35" t="s">
        <v>150</v>
      </c>
      <c r="P58" s="35" t="s">
        <v>156</v>
      </c>
      <c r="Q58" s="36" t="s">
        <v>252</v>
      </c>
      <c r="R58" s="36"/>
      <c r="S58" s="35">
        <v>437.5</v>
      </c>
      <c r="T58" s="35" t="str">
        <f>"273,3719"</f>
        <v>273,3719</v>
      </c>
      <c r="U58" s="35" t="s">
        <v>177</v>
      </c>
    </row>
    <row r="59" spans="1:21" ht="12.75">
      <c r="A59" s="37" t="s">
        <v>1135</v>
      </c>
      <c r="B59" s="37" t="s">
        <v>1136</v>
      </c>
      <c r="C59" s="37" t="s">
        <v>1137</v>
      </c>
      <c r="D59" s="37" t="str">
        <f>"0,6238"</f>
        <v>0,6238</v>
      </c>
      <c r="E59" s="37" t="s">
        <v>61</v>
      </c>
      <c r="F59" s="37" t="s">
        <v>46</v>
      </c>
      <c r="G59" s="38" t="s">
        <v>124</v>
      </c>
      <c r="H59" s="38" t="s">
        <v>124</v>
      </c>
      <c r="I59" s="38" t="s">
        <v>124</v>
      </c>
      <c r="J59" s="38"/>
      <c r="K59" s="38" t="s">
        <v>30</v>
      </c>
      <c r="L59" s="38"/>
      <c r="M59" s="38"/>
      <c r="N59" s="38"/>
      <c r="O59" s="38" t="s">
        <v>218</v>
      </c>
      <c r="P59" s="38"/>
      <c r="Q59" s="38"/>
      <c r="R59" s="38"/>
      <c r="S59" s="37">
        <v>0</v>
      </c>
      <c r="T59" s="37" t="str">
        <f>"0,0000"</f>
        <v>0,0000</v>
      </c>
      <c r="U59" s="37" t="s">
        <v>1138</v>
      </c>
    </row>
    <row r="61" spans="1:20" ht="15">
      <c r="A61" s="62" t="s">
        <v>178</v>
      </c>
      <c r="B61" s="62"/>
      <c r="C61" s="62"/>
      <c r="D61" s="62"/>
      <c r="E61" s="62"/>
      <c r="F61" s="62"/>
      <c r="G61" s="62"/>
      <c r="H61" s="62"/>
      <c r="I61" s="62"/>
      <c r="J61" s="62"/>
      <c r="K61" s="62"/>
      <c r="L61" s="62"/>
      <c r="M61" s="62"/>
      <c r="N61" s="62"/>
      <c r="O61" s="62"/>
      <c r="P61" s="62"/>
      <c r="Q61" s="62"/>
      <c r="R61" s="62"/>
      <c r="S61" s="62"/>
      <c r="T61" s="62"/>
    </row>
    <row r="62" spans="1:21" ht="12.75">
      <c r="A62" s="33" t="s">
        <v>1139</v>
      </c>
      <c r="B62" s="33" t="s">
        <v>1140</v>
      </c>
      <c r="C62" s="33" t="s">
        <v>1141</v>
      </c>
      <c r="D62" s="33" t="str">
        <f>"0,5863"</f>
        <v>0,5863</v>
      </c>
      <c r="E62" s="33" t="s">
        <v>37</v>
      </c>
      <c r="F62" s="33" t="s">
        <v>38</v>
      </c>
      <c r="G62" s="33" t="s">
        <v>438</v>
      </c>
      <c r="H62" s="33" t="s">
        <v>433</v>
      </c>
      <c r="I62" s="33" t="s">
        <v>275</v>
      </c>
      <c r="J62" s="34"/>
      <c r="K62" s="33" t="s">
        <v>428</v>
      </c>
      <c r="L62" s="33" t="s">
        <v>432</v>
      </c>
      <c r="M62" s="34" t="s">
        <v>30</v>
      </c>
      <c r="N62" s="34"/>
      <c r="O62" s="33" t="s">
        <v>123</v>
      </c>
      <c r="P62" s="33" t="s">
        <v>124</v>
      </c>
      <c r="Q62" s="33" t="s">
        <v>125</v>
      </c>
      <c r="R62" s="34"/>
      <c r="S62" s="33">
        <v>472.5</v>
      </c>
      <c r="T62" s="33" t="str">
        <f>"299,1889"</f>
        <v>299,1889</v>
      </c>
      <c r="U62" s="33" t="s">
        <v>41</v>
      </c>
    </row>
    <row r="63" spans="1:21" ht="12.75">
      <c r="A63" s="35" t="s">
        <v>1142</v>
      </c>
      <c r="B63" s="35" t="s">
        <v>1143</v>
      </c>
      <c r="C63" s="35" t="s">
        <v>1144</v>
      </c>
      <c r="D63" s="35" t="str">
        <f>"0,5939"</f>
        <v>0,5939</v>
      </c>
      <c r="E63" s="35" t="s">
        <v>26</v>
      </c>
      <c r="F63" s="35" t="s">
        <v>27</v>
      </c>
      <c r="G63" s="35" t="s">
        <v>231</v>
      </c>
      <c r="H63" s="35" t="s">
        <v>192</v>
      </c>
      <c r="I63" s="35" t="s">
        <v>163</v>
      </c>
      <c r="J63" s="36"/>
      <c r="K63" s="35" t="s">
        <v>55</v>
      </c>
      <c r="L63" s="35" t="s">
        <v>274</v>
      </c>
      <c r="M63" s="35" t="s">
        <v>466</v>
      </c>
      <c r="N63" s="36"/>
      <c r="O63" s="35" t="s">
        <v>113</v>
      </c>
      <c r="P63" s="35" t="s">
        <v>163</v>
      </c>
      <c r="Q63" s="36" t="s">
        <v>245</v>
      </c>
      <c r="R63" s="36"/>
      <c r="S63" s="35">
        <v>642.5</v>
      </c>
      <c r="T63" s="35" t="str">
        <f>"381,5808"</f>
        <v>381,5808</v>
      </c>
      <c r="U63" s="35" t="s">
        <v>49</v>
      </c>
    </row>
    <row r="64" spans="1:21" ht="12.75">
      <c r="A64" s="35" t="s">
        <v>1145</v>
      </c>
      <c r="B64" s="35" t="s">
        <v>1146</v>
      </c>
      <c r="C64" s="35" t="s">
        <v>1147</v>
      </c>
      <c r="D64" s="35" t="str">
        <f>"0,5873"</f>
        <v>0,5873</v>
      </c>
      <c r="E64" s="35" t="s">
        <v>1060</v>
      </c>
      <c r="F64" s="35" t="s">
        <v>1061</v>
      </c>
      <c r="G64" s="35" t="s">
        <v>252</v>
      </c>
      <c r="H64" s="35" t="s">
        <v>218</v>
      </c>
      <c r="I64" s="35" t="s">
        <v>125</v>
      </c>
      <c r="J64" s="36"/>
      <c r="K64" s="35" t="s">
        <v>55</v>
      </c>
      <c r="L64" s="35" t="s">
        <v>682</v>
      </c>
      <c r="M64" s="35" t="s">
        <v>433</v>
      </c>
      <c r="N64" s="36"/>
      <c r="O64" s="35" t="s">
        <v>231</v>
      </c>
      <c r="P64" s="35" t="s">
        <v>113</v>
      </c>
      <c r="Q64" s="35" t="s">
        <v>162</v>
      </c>
      <c r="R64" s="36"/>
      <c r="S64" s="35">
        <v>595</v>
      </c>
      <c r="T64" s="35" t="str">
        <f>"349,4435"</f>
        <v>349,4435</v>
      </c>
      <c r="U64" s="35" t="s">
        <v>1148</v>
      </c>
    </row>
    <row r="65" spans="1:21" ht="12.75">
      <c r="A65" s="35" t="s">
        <v>1149</v>
      </c>
      <c r="B65" s="35" t="s">
        <v>1150</v>
      </c>
      <c r="C65" s="35" t="s">
        <v>862</v>
      </c>
      <c r="D65" s="35" t="str">
        <f>"0,5883"</f>
        <v>0,5883</v>
      </c>
      <c r="E65" s="35" t="s">
        <v>690</v>
      </c>
      <c r="F65" s="35" t="s">
        <v>691</v>
      </c>
      <c r="G65" s="35" t="s">
        <v>252</v>
      </c>
      <c r="H65" s="36" t="s">
        <v>125</v>
      </c>
      <c r="I65" s="36" t="s">
        <v>125</v>
      </c>
      <c r="J65" s="36"/>
      <c r="K65" s="35" t="s">
        <v>682</v>
      </c>
      <c r="L65" s="35" t="s">
        <v>239</v>
      </c>
      <c r="M65" s="36" t="s">
        <v>433</v>
      </c>
      <c r="N65" s="36"/>
      <c r="O65" s="35" t="s">
        <v>113</v>
      </c>
      <c r="P65" s="36" t="s">
        <v>1007</v>
      </c>
      <c r="Q65" s="36" t="s">
        <v>1007</v>
      </c>
      <c r="R65" s="36"/>
      <c r="S65" s="35">
        <v>572.5</v>
      </c>
      <c r="T65" s="35" t="str">
        <f>"336,8017"</f>
        <v>336,8017</v>
      </c>
      <c r="U65" s="35" t="s">
        <v>1151</v>
      </c>
    </row>
    <row r="66" spans="1:21" ht="12.75">
      <c r="A66" s="35" t="s">
        <v>1152</v>
      </c>
      <c r="B66" s="35" t="s">
        <v>1153</v>
      </c>
      <c r="C66" s="35" t="s">
        <v>1154</v>
      </c>
      <c r="D66" s="35" t="str">
        <f>"0,5932"</f>
        <v>0,5932</v>
      </c>
      <c r="E66" s="35" t="s">
        <v>77</v>
      </c>
      <c r="F66" s="35" t="s">
        <v>78</v>
      </c>
      <c r="G66" s="35" t="s">
        <v>123</v>
      </c>
      <c r="H66" s="36" t="s">
        <v>124</v>
      </c>
      <c r="I66" s="35" t="s">
        <v>252</v>
      </c>
      <c r="J66" s="36"/>
      <c r="K66" s="36" t="s">
        <v>99</v>
      </c>
      <c r="L66" s="35" t="s">
        <v>99</v>
      </c>
      <c r="M66" s="35" t="s">
        <v>54</v>
      </c>
      <c r="N66" s="36"/>
      <c r="O66" s="36" t="s">
        <v>218</v>
      </c>
      <c r="P66" s="35" t="s">
        <v>231</v>
      </c>
      <c r="Q66" s="36" t="s">
        <v>192</v>
      </c>
      <c r="R66" s="36"/>
      <c r="S66" s="35">
        <v>540</v>
      </c>
      <c r="T66" s="35" t="str">
        <f>"320,3550"</f>
        <v>320,3550</v>
      </c>
      <c r="U66" s="35" t="s">
        <v>49</v>
      </c>
    </row>
    <row r="67" spans="1:21" ht="12.75">
      <c r="A67" s="37" t="s">
        <v>1155</v>
      </c>
      <c r="B67" s="37" t="s">
        <v>1156</v>
      </c>
      <c r="C67" s="37" t="s">
        <v>865</v>
      </c>
      <c r="D67" s="37" t="str">
        <f>"0,5853"</f>
        <v>0,5853</v>
      </c>
      <c r="E67" s="37" t="s">
        <v>224</v>
      </c>
      <c r="F67" s="37" t="s">
        <v>225</v>
      </c>
      <c r="G67" s="37" t="s">
        <v>433</v>
      </c>
      <c r="H67" s="37" t="s">
        <v>139</v>
      </c>
      <c r="I67" s="38" t="s">
        <v>122</v>
      </c>
      <c r="J67" s="38"/>
      <c r="K67" s="37" t="s">
        <v>48</v>
      </c>
      <c r="L67" s="37" t="s">
        <v>552</v>
      </c>
      <c r="M67" s="37" t="s">
        <v>467</v>
      </c>
      <c r="N67" s="38"/>
      <c r="O67" s="37" t="s">
        <v>146</v>
      </c>
      <c r="P67" s="37" t="s">
        <v>218</v>
      </c>
      <c r="Q67" s="38" t="s">
        <v>125</v>
      </c>
      <c r="R67" s="38"/>
      <c r="S67" s="37">
        <v>502.5</v>
      </c>
      <c r="T67" s="37" t="str">
        <f>"294,1133"</f>
        <v>294,1133</v>
      </c>
      <c r="U67" s="37" t="s">
        <v>1129</v>
      </c>
    </row>
    <row r="69" spans="1:20" ht="15">
      <c r="A69" s="62" t="s">
        <v>206</v>
      </c>
      <c r="B69" s="62"/>
      <c r="C69" s="62"/>
      <c r="D69" s="62"/>
      <c r="E69" s="62"/>
      <c r="F69" s="62"/>
      <c r="G69" s="62"/>
      <c r="H69" s="62"/>
      <c r="I69" s="62"/>
      <c r="J69" s="62"/>
      <c r="K69" s="62"/>
      <c r="L69" s="62"/>
      <c r="M69" s="62"/>
      <c r="N69" s="62"/>
      <c r="O69" s="62"/>
      <c r="P69" s="62"/>
      <c r="Q69" s="62"/>
      <c r="R69" s="62"/>
      <c r="S69" s="62"/>
      <c r="T69" s="62"/>
    </row>
    <row r="70" spans="1:21" ht="12.75">
      <c r="A70" s="33" t="s">
        <v>1157</v>
      </c>
      <c r="B70" s="33" t="s">
        <v>1158</v>
      </c>
      <c r="C70" s="33" t="s">
        <v>223</v>
      </c>
      <c r="D70" s="33" t="str">
        <f>"0,5570"</f>
        <v>0,5570</v>
      </c>
      <c r="E70" s="33" t="s">
        <v>26</v>
      </c>
      <c r="F70" s="33" t="s">
        <v>27</v>
      </c>
      <c r="G70" s="33" t="s">
        <v>218</v>
      </c>
      <c r="H70" s="33" t="s">
        <v>219</v>
      </c>
      <c r="I70" s="33" t="s">
        <v>198</v>
      </c>
      <c r="J70" s="34"/>
      <c r="K70" s="33" t="s">
        <v>438</v>
      </c>
      <c r="L70" s="33" t="s">
        <v>274</v>
      </c>
      <c r="M70" s="33" t="s">
        <v>433</v>
      </c>
      <c r="N70" s="34"/>
      <c r="O70" s="33" t="s">
        <v>113</v>
      </c>
      <c r="P70" s="33" t="s">
        <v>162</v>
      </c>
      <c r="Q70" s="34" t="s">
        <v>212</v>
      </c>
      <c r="R70" s="34"/>
      <c r="S70" s="33">
        <v>605</v>
      </c>
      <c r="T70" s="33" t="str">
        <f>"336,9850"</f>
        <v>336,9850</v>
      </c>
      <c r="U70" s="33" t="s">
        <v>1159</v>
      </c>
    </row>
    <row r="71" spans="1:21" ht="12.75">
      <c r="A71" s="35" t="s">
        <v>687</v>
      </c>
      <c r="B71" s="35" t="s">
        <v>688</v>
      </c>
      <c r="C71" s="35" t="s">
        <v>689</v>
      </c>
      <c r="D71" s="35" t="str">
        <f>"0,5597"</f>
        <v>0,5597</v>
      </c>
      <c r="E71" s="35" t="s">
        <v>690</v>
      </c>
      <c r="F71" s="35" t="s">
        <v>691</v>
      </c>
      <c r="G71" s="36" t="s">
        <v>244</v>
      </c>
      <c r="H71" s="36"/>
      <c r="I71" s="36"/>
      <c r="J71" s="36"/>
      <c r="K71" s="36" t="s">
        <v>150</v>
      </c>
      <c r="L71" s="36"/>
      <c r="M71" s="36"/>
      <c r="N71" s="36"/>
      <c r="O71" s="36" t="s">
        <v>245</v>
      </c>
      <c r="P71" s="36"/>
      <c r="Q71" s="36"/>
      <c r="R71" s="36"/>
      <c r="S71" s="35">
        <v>0</v>
      </c>
      <c r="T71" s="35" t="str">
        <f>"0,0000"</f>
        <v>0,0000</v>
      </c>
      <c r="U71" s="35" t="s">
        <v>693</v>
      </c>
    </row>
    <row r="72" spans="1:21" ht="12.75">
      <c r="A72" s="35" t="s">
        <v>221</v>
      </c>
      <c r="B72" s="35" t="s">
        <v>222</v>
      </c>
      <c r="C72" s="35" t="s">
        <v>223</v>
      </c>
      <c r="D72" s="35" t="str">
        <f>"0,5570"</f>
        <v>0,5570</v>
      </c>
      <c r="E72" s="35" t="s">
        <v>224</v>
      </c>
      <c r="F72" s="35" t="s">
        <v>225</v>
      </c>
      <c r="G72" s="35" t="s">
        <v>162</v>
      </c>
      <c r="H72" s="35" t="s">
        <v>163</v>
      </c>
      <c r="I72" s="35" t="s">
        <v>676</v>
      </c>
      <c r="J72" s="36"/>
      <c r="K72" s="35" t="s">
        <v>139</v>
      </c>
      <c r="L72" s="35" t="s">
        <v>150</v>
      </c>
      <c r="M72" s="36" t="s">
        <v>123</v>
      </c>
      <c r="N72" s="36"/>
      <c r="O72" s="35" t="s">
        <v>186</v>
      </c>
      <c r="P72" s="36" t="s">
        <v>226</v>
      </c>
      <c r="Q72" s="36"/>
      <c r="R72" s="36"/>
      <c r="S72" s="35">
        <v>695</v>
      </c>
      <c r="T72" s="35" t="str">
        <f>"387,1150"</f>
        <v>387,1150</v>
      </c>
      <c r="U72" s="35" t="s">
        <v>49</v>
      </c>
    </row>
    <row r="73" spans="1:21" ht="12.75">
      <c r="A73" s="35" t="s">
        <v>1160</v>
      </c>
      <c r="B73" s="35" t="s">
        <v>1161</v>
      </c>
      <c r="C73" s="35" t="s">
        <v>1162</v>
      </c>
      <c r="D73" s="35" t="str">
        <f>"0,5774"</f>
        <v>0,5774</v>
      </c>
      <c r="E73" s="35" t="s">
        <v>1163</v>
      </c>
      <c r="F73" s="35" t="s">
        <v>1164</v>
      </c>
      <c r="G73" s="35" t="s">
        <v>125</v>
      </c>
      <c r="H73" s="35" t="s">
        <v>231</v>
      </c>
      <c r="I73" s="36" t="s">
        <v>198</v>
      </c>
      <c r="J73" s="36"/>
      <c r="K73" s="35" t="s">
        <v>438</v>
      </c>
      <c r="L73" s="35" t="s">
        <v>433</v>
      </c>
      <c r="M73" s="36" t="s">
        <v>275</v>
      </c>
      <c r="N73" s="36"/>
      <c r="O73" s="35" t="s">
        <v>244</v>
      </c>
      <c r="P73" s="35" t="s">
        <v>185</v>
      </c>
      <c r="Q73" s="36" t="s">
        <v>186</v>
      </c>
      <c r="R73" s="36"/>
      <c r="S73" s="35">
        <v>635</v>
      </c>
      <c r="T73" s="35" t="str">
        <f>"366,6173"</f>
        <v>366,6173</v>
      </c>
      <c r="U73" s="35" t="s">
        <v>1165</v>
      </c>
    </row>
    <row r="74" spans="1:21" ht="12.75">
      <c r="A74" s="35" t="s">
        <v>702</v>
      </c>
      <c r="B74" s="35" t="s">
        <v>703</v>
      </c>
      <c r="C74" s="35" t="s">
        <v>704</v>
      </c>
      <c r="D74" s="35" t="str">
        <f>"0,5633"</f>
        <v>0,5633</v>
      </c>
      <c r="E74" s="35" t="s">
        <v>61</v>
      </c>
      <c r="F74" s="35" t="s">
        <v>46</v>
      </c>
      <c r="G74" s="35" t="s">
        <v>113</v>
      </c>
      <c r="H74" s="35" t="s">
        <v>162</v>
      </c>
      <c r="I74" s="36" t="s">
        <v>212</v>
      </c>
      <c r="J74" s="36"/>
      <c r="K74" s="35" t="s">
        <v>433</v>
      </c>
      <c r="L74" s="35" t="s">
        <v>275</v>
      </c>
      <c r="M74" s="35" t="s">
        <v>139</v>
      </c>
      <c r="N74" s="36"/>
      <c r="O74" s="35" t="s">
        <v>113</v>
      </c>
      <c r="P74" s="35" t="s">
        <v>162</v>
      </c>
      <c r="Q74" s="36" t="s">
        <v>244</v>
      </c>
      <c r="R74" s="36"/>
      <c r="S74" s="35">
        <v>630</v>
      </c>
      <c r="T74" s="35" t="str">
        <f>"354,8790"</f>
        <v>354,8790</v>
      </c>
      <c r="U74" s="35" t="s">
        <v>173</v>
      </c>
    </row>
    <row r="75" spans="1:21" ht="12.75">
      <c r="A75" s="35" t="s">
        <v>1166</v>
      </c>
      <c r="B75" s="35" t="s">
        <v>1167</v>
      </c>
      <c r="C75" s="35" t="s">
        <v>713</v>
      </c>
      <c r="D75" s="35" t="str">
        <f>"0,5563"</f>
        <v>0,5563</v>
      </c>
      <c r="E75" s="35" t="s">
        <v>1163</v>
      </c>
      <c r="F75" s="35" t="s">
        <v>1164</v>
      </c>
      <c r="G75" s="35" t="s">
        <v>218</v>
      </c>
      <c r="H75" s="36" t="s">
        <v>231</v>
      </c>
      <c r="I75" s="36" t="s">
        <v>231</v>
      </c>
      <c r="J75" s="36"/>
      <c r="K75" s="36" t="s">
        <v>54</v>
      </c>
      <c r="L75" s="36" t="s">
        <v>54</v>
      </c>
      <c r="M75" s="35" t="s">
        <v>54</v>
      </c>
      <c r="N75" s="36"/>
      <c r="O75" s="36" t="s">
        <v>252</v>
      </c>
      <c r="P75" s="36" t="s">
        <v>218</v>
      </c>
      <c r="Q75" s="35" t="s">
        <v>218</v>
      </c>
      <c r="R75" s="36"/>
      <c r="S75" s="35">
        <v>535</v>
      </c>
      <c r="T75" s="35" t="str">
        <f>"297,6205"</f>
        <v>297,6205</v>
      </c>
      <c r="U75" s="35" t="s">
        <v>1168</v>
      </c>
    </row>
    <row r="76" spans="1:21" ht="12.75">
      <c r="A76" s="35" t="s">
        <v>1169</v>
      </c>
      <c r="B76" s="35" t="s">
        <v>1170</v>
      </c>
      <c r="C76" s="35" t="s">
        <v>1171</v>
      </c>
      <c r="D76" s="35" t="str">
        <f>"0,5699"</f>
        <v>0,5699</v>
      </c>
      <c r="E76" s="35" t="s">
        <v>1172</v>
      </c>
      <c r="F76" s="35" t="s">
        <v>1173</v>
      </c>
      <c r="G76" s="36" t="s">
        <v>139</v>
      </c>
      <c r="H76" s="35" t="s">
        <v>139</v>
      </c>
      <c r="I76" s="35" t="s">
        <v>150</v>
      </c>
      <c r="J76" s="36"/>
      <c r="K76" s="35" t="s">
        <v>39</v>
      </c>
      <c r="L76" s="36" t="s">
        <v>99</v>
      </c>
      <c r="M76" s="36" t="s">
        <v>99</v>
      </c>
      <c r="N76" s="36"/>
      <c r="O76" s="36" t="s">
        <v>123</v>
      </c>
      <c r="P76" s="35" t="s">
        <v>123</v>
      </c>
      <c r="Q76" s="36" t="s">
        <v>218</v>
      </c>
      <c r="R76" s="36"/>
      <c r="S76" s="35">
        <v>475</v>
      </c>
      <c r="T76" s="35" t="str">
        <f>"270,7025"</f>
        <v>270,7025</v>
      </c>
      <c r="U76" s="35" t="s">
        <v>1174</v>
      </c>
    </row>
    <row r="77" spans="1:21" ht="12.75">
      <c r="A77" s="35" t="s">
        <v>687</v>
      </c>
      <c r="B77" s="35" t="s">
        <v>694</v>
      </c>
      <c r="C77" s="35" t="s">
        <v>689</v>
      </c>
      <c r="D77" s="35" t="str">
        <f>"0,5597"</f>
        <v>0,5597</v>
      </c>
      <c r="E77" s="35" t="s">
        <v>690</v>
      </c>
      <c r="F77" s="35" t="s">
        <v>691</v>
      </c>
      <c r="G77" s="36" t="s">
        <v>244</v>
      </c>
      <c r="H77" s="36"/>
      <c r="I77" s="36"/>
      <c r="J77" s="36"/>
      <c r="K77" s="36" t="s">
        <v>150</v>
      </c>
      <c r="L77" s="36"/>
      <c r="M77" s="36"/>
      <c r="N77" s="36"/>
      <c r="O77" s="36" t="s">
        <v>245</v>
      </c>
      <c r="P77" s="36"/>
      <c r="Q77" s="36"/>
      <c r="R77" s="36"/>
      <c r="S77" s="35">
        <v>0</v>
      </c>
      <c r="T77" s="35" t="str">
        <f>"0,0000"</f>
        <v>0,0000</v>
      </c>
      <c r="U77" s="35" t="s">
        <v>693</v>
      </c>
    </row>
    <row r="78" spans="1:21" ht="12.75">
      <c r="A78" s="37" t="s">
        <v>1175</v>
      </c>
      <c r="B78" s="37" t="s">
        <v>1176</v>
      </c>
      <c r="C78" s="37" t="s">
        <v>697</v>
      </c>
      <c r="D78" s="37" t="str">
        <f>"0,5543"</f>
        <v>0,5543</v>
      </c>
      <c r="E78" s="37" t="s">
        <v>1163</v>
      </c>
      <c r="F78" s="37" t="s">
        <v>1164</v>
      </c>
      <c r="G78" s="37" t="s">
        <v>124</v>
      </c>
      <c r="H78" s="37" t="s">
        <v>218</v>
      </c>
      <c r="I78" s="38" t="s">
        <v>231</v>
      </c>
      <c r="J78" s="38"/>
      <c r="K78" s="37" t="s">
        <v>99</v>
      </c>
      <c r="L78" s="37" t="s">
        <v>62</v>
      </c>
      <c r="M78" s="37" t="s">
        <v>54</v>
      </c>
      <c r="N78" s="38"/>
      <c r="O78" s="37" t="s">
        <v>218</v>
      </c>
      <c r="P78" s="37" t="s">
        <v>231</v>
      </c>
      <c r="Q78" s="37" t="s">
        <v>113</v>
      </c>
      <c r="R78" s="38"/>
      <c r="S78" s="37">
        <v>555</v>
      </c>
      <c r="T78" s="37" t="str">
        <f>"310,4052"</f>
        <v>310,4052</v>
      </c>
      <c r="U78" s="37" t="s">
        <v>49</v>
      </c>
    </row>
    <row r="80" spans="1:20" ht="15">
      <c r="A80" s="62" t="s">
        <v>235</v>
      </c>
      <c r="B80" s="62"/>
      <c r="C80" s="62"/>
      <c r="D80" s="62"/>
      <c r="E80" s="62"/>
      <c r="F80" s="62"/>
      <c r="G80" s="62"/>
      <c r="H80" s="62"/>
      <c r="I80" s="62"/>
      <c r="J80" s="62"/>
      <c r="K80" s="62"/>
      <c r="L80" s="62"/>
      <c r="M80" s="62"/>
      <c r="N80" s="62"/>
      <c r="O80" s="62"/>
      <c r="P80" s="62"/>
      <c r="Q80" s="62"/>
      <c r="R80" s="62"/>
      <c r="S80" s="62"/>
      <c r="T80" s="62"/>
    </row>
    <row r="81" spans="1:21" ht="12.75">
      <c r="A81" s="33" t="s">
        <v>1177</v>
      </c>
      <c r="B81" s="33" t="s">
        <v>1178</v>
      </c>
      <c r="C81" s="33" t="s">
        <v>1179</v>
      </c>
      <c r="D81" s="33" t="str">
        <f>"0,5437"</f>
        <v>0,5437</v>
      </c>
      <c r="E81" s="33" t="s">
        <v>130</v>
      </c>
      <c r="F81" s="33" t="s">
        <v>131</v>
      </c>
      <c r="G81" s="33" t="s">
        <v>433</v>
      </c>
      <c r="H81" s="33" t="s">
        <v>139</v>
      </c>
      <c r="I81" s="33" t="s">
        <v>123</v>
      </c>
      <c r="J81" s="34"/>
      <c r="K81" s="33" t="s">
        <v>48</v>
      </c>
      <c r="L81" s="33" t="s">
        <v>99</v>
      </c>
      <c r="M81" s="33" t="s">
        <v>62</v>
      </c>
      <c r="N81" s="34"/>
      <c r="O81" s="33" t="s">
        <v>124</v>
      </c>
      <c r="P81" s="34" t="s">
        <v>231</v>
      </c>
      <c r="Q81" s="34" t="s">
        <v>231</v>
      </c>
      <c r="R81" s="34"/>
      <c r="S81" s="33">
        <v>500</v>
      </c>
      <c r="T81" s="33" t="str">
        <f>"271,8500"</f>
        <v>271,8500</v>
      </c>
      <c r="U81" s="33" t="s">
        <v>1180</v>
      </c>
    </row>
    <row r="82" spans="1:21" ht="12.75">
      <c r="A82" s="35" t="s">
        <v>1181</v>
      </c>
      <c r="B82" s="35" t="s">
        <v>1182</v>
      </c>
      <c r="C82" s="35" t="s">
        <v>1183</v>
      </c>
      <c r="D82" s="35" t="str">
        <f>"0,5443"</f>
        <v>0,5443</v>
      </c>
      <c r="E82" s="35" t="s">
        <v>26</v>
      </c>
      <c r="F82" s="35" t="s">
        <v>27</v>
      </c>
      <c r="G82" s="35" t="s">
        <v>218</v>
      </c>
      <c r="H82" s="35" t="s">
        <v>231</v>
      </c>
      <c r="I82" s="35" t="s">
        <v>113</v>
      </c>
      <c r="J82" s="36"/>
      <c r="K82" s="35" t="s">
        <v>438</v>
      </c>
      <c r="L82" s="35" t="s">
        <v>274</v>
      </c>
      <c r="M82" s="36" t="s">
        <v>275</v>
      </c>
      <c r="N82" s="36"/>
      <c r="O82" s="35" t="s">
        <v>113</v>
      </c>
      <c r="P82" s="35" t="s">
        <v>162</v>
      </c>
      <c r="Q82" s="35" t="s">
        <v>212</v>
      </c>
      <c r="R82" s="36"/>
      <c r="S82" s="35">
        <v>610</v>
      </c>
      <c r="T82" s="35" t="str">
        <f>"332,0230"</f>
        <v>332,0230</v>
      </c>
      <c r="U82" s="35" t="s">
        <v>49</v>
      </c>
    </row>
    <row r="83" spans="1:21" ht="12.75">
      <c r="A83" s="37" t="s">
        <v>1184</v>
      </c>
      <c r="B83" s="37" t="s">
        <v>1185</v>
      </c>
      <c r="C83" s="37" t="s">
        <v>1186</v>
      </c>
      <c r="D83" s="37" t="str">
        <f>"0,5402"</f>
        <v>0,5402</v>
      </c>
      <c r="E83" s="37" t="s">
        <v>26</v>
      </c>
      <c r="F83" s="37" t="s">
        <v>27</v>
      </c>
      <c r="G83" s="37" t="s">
        <v>150</v>
      </c>
      <c r="H83" s="38" t="s">
        <v>123</v>
      </c>
      <c r="I83" s="38" t="s">
        <v>123</v>
      </c>
      <c r="J83" s="38"/>
      <c r="K83" s="37" t="s">
        <v>99</v>
      </c>
      <c r="L83" s="38" t="s">
        <v>62</v>
      </c>
      <c r="M83" s="38" t="s">
        <v>62</v>
      </c>
      <c r="N83" s="38"/>
      <c r="O83" s="37" t="s">
        <v>124</v>
      </c>
      <c r="P83" s="37" t="s">
        <v>252</v>
      </c>
      <c r="Q83" s="38" t="s">
        <v>218</v>
      </c>
      <c r="R83" s="38"/>
      <c r="S83" s="37">
        <v>495</v>
      </c>
      <c r="T83" s="37" t="str">
        <f>"267,3990"</f>
        <v>267,3990</v>
      </c>
      <c r="U83" s="37" t="s">
        <v>49</v>
      </c>
    </row>
    <row r="85" spans="1:20" ht="15">
      <c r="A85" s="62" t="s">
        <v>262</v>
      </c>
      <c r="B85" s="62"/>
      <c r="C85" s="62"/>
      <c r="D85" s="62"/>
      <c r="E85" s="62"/>
      <c r="F85" s="62"/>
      <c r="G85" s="62"/>
      <c r="H85" s="62"/>
      <c r="I85" s="62"/>
      <c r="J85" s="62"/>
      <c r="K85" s="62"/>
      <c r="L85" s="62"/>
      <c r="M85" s="62"/>
      <c r="N85" s="62"/>
      <c r="O85" s="62"/>
      <c r="P85" s="62"/>
      <c r="Q85" s="62"/>
      <c r="R85" s="62"/>
      <c r="S85" s="62"/>
      <c r="T85" s="62"/>
    </row>
    <row r="86" spans="1:21" ht="12.75">
      <c r="A86" s="33" t="s">
        <v>263</v>
      </c>
      <c r="B86" s="33" t="s">
        <v>264</v>
      </c>
      <c r="C86" s="33" t="s">
        <v>265</v>
      </c>
      <c r="D86" s="33" t="str">
        <f>"0,5332"</f>
        <v>0,5332</v>
      </c>
      <c r="E86" s="33" t="s">
        <v>61</v>
      </c>
      <c r="F86" s="33" t="s">
        <v>46</v>
      </c>
      <c r="G86" s="33" t="s">
        <v>124</v>
      </c>
      <c r="H86" s="33" t="s">
        <v>218</v>
      </c>
      <c r="I86" s="34" t="s">
        <v>125</v>
      </c>
      <c r="J86" s="34"/>
      <c r="K86" s="34" t="s">
        <v>55</v>
      </c>
      <c r="L86" s="34" t="s">
        <v>55</v>
      </c>
      <c r="M86" s="34" t="s">
        <v>55</v>
      </c>
      <c r="N86" s="34"/>
      <c r="O86" s="33" t="s">
        <v>266</v>
      </c>
      <c r="P86" s="34" t="s">
        <v>245</v>
      </c>
      <c r="Q86" s="34" t="s">
        <v>245</v>
      </c>
      <c r="R86" s="34"/>
      <c r="S86" s="33">
        <v>0</v>
      </c>
      <c r="T86" s="33" t="str">
        <f>"0,0000"</f>
        <v>0,0000</v>
      </c>
      <c r="U86" s="33" t="s">
        <v>173</v>
      </c>
    </row>
    <row r="87" spans="1:21" ht="12.75">
      <c r="A87" s="37" t="s">
        <v>1187</v>
      </c>
      <c r="B87" s="37" t="s">
        <v>1188</v>
      </c>
      <c r="C87" s="37" t="s">
        <v>1189</v>
      </c>
      <c r="D87" s="37" t="str">
        <f>"0,5303"</f>
        <v>0,5303</v>
      </c>
      <c r="E87" s="37" t="s">
        <v>112</v>
      </c>
      <c r="F87" s="37" t="s">
        <v>38</v>
      </c>
      <c r="G87" s="37" t="s">
        <v>218</v>
      </c>
      <c r="H87" s="38" t="s">
        <v>231</v>
      </c>
      <c r="I87" s="37" t="s">
        <v>231</v>
      </c>
      <c r="J87" s="38"/>
      <c r="K87" s="37" t="s">
        <v>139</v>
      </c>
      <c r="L87" s="38" t="s">
        <v>150</v>
      </c>
      <c r="M87" s="38" t="s">
        <v>150</v>
      </c>
      <c r="N87" s="38"/>
      <c r="O87" s="38" t="s">
        <v>113</v>
      </c>
      <c r="P87" s="38" t="s">
        <v>113</v>
      </c>
      <c r="Q87" s="38" t="s">
        <v>113</v>
      </c>
      <c r="R87" s="38"/>
      <c r="S87" s="37">
        <v>0</v>
      </c>
      <c r="T87" s="37" t="str">
        <f>"0,0000"</f>
        <v>0,0000</v>
      </c>
      <c r="U87" s="37" t="s">
        <v>41</v>
      </c>
    </row>
    <row r="89" spans="1:20" ht="15">
      <c r="A89" s="62" t="s">
        <v>268</v>
      </c>
      <c r="B89" s="62"/>
      <c r="C89" s="62"/>
      <c r="D89" s="62"/>
      <c r="E89" s="62"/>
      <c r="F89" s="62"/>
      <c r="G89" s="62"/>
      <c r="H89" s="62"/>
      <c r="I89" s="62"/>
      <c r="J89" s="62"/>
      <c r="K89" s="62"/>
      <c r="L89" s="62"/>
      <c r="M89" s="62"/>
      <c r="N89" s="62"/>
      <c r="O89" s="62"/>
      <c r="P89" s="62"/>
      <c r="Q89" s="62"/>
      <c r="R89" s="62"/>
      <c r="S89" s="62"/>
      <c r="T89" s="62"/>
    </row>
    <row r="90" spans="1:21" ht="12.75">
      <c r="A90" s="33" t="s">
        <v>1190</v>
      </c>
      <c r="B90" s="33" t="s">
        <v>1191</v>
      </c>
      <c r="C90" s="33" t="s">
        <v>1192</v>
      </c>
      <c r="D90" s="33" t="str">
        <f>"0,5176"</f>
        <v>0,5176</v>
      </c>
      <c r="E90" s="33" t="s">
        <v>37</v>
      </c>
      <c r="F90" s="33" t="s">
        <v>38</v>
      </c>
      <c r="G90" s="33" t="s">
        <v>123</v>
      </c>
      <c r="H90" s="33" t="s">
        <v>124</v>
      </c>
      <c r="I90" s="34" t="s">
        <v>218</v>
      </c>
      <c r="J90" s="34"/>
      <c r="K90" s="33" t="s">
        <v>70</v>
      </c>
      <c r="L90" s="33" t="s">
        <v>28</v>
      </c>
      <c r="M90" s="34" t="s">
        <v>30</v>
      </c>
      <c r="N90" s="34"/>
      <c r="O90" s="33" t="s">
        <v>139</v>
      </c>
      <c r="P90" s="33" t="s">
        <v>123</v>
      </c>
      <c r="Q90" s="33" t="s">
        <v>124</v>
      </c>
      <c r="R90" s="34"/>
      <c r="S90" s="33">
        <v>480</v>
      </c>
      <c r="T90" s="33" t="str">
        <f>"258,4059"</f>
        <v>258,4059</v>
      </c>
      <c r="U90" s="33" t="s">
        <v>41</v>
      </c>
    </row>
    <row r="91" spans="1:21" ht="12.75">
      <c r="A91" s="35" t="s">
        <v>1193</v>
      </c>
      <c r="B91" s="35" t="s">
        <v>1194</v>
      </c>
      <c r="C91" s="35" t="s">
        <v>1195</v>
      </c>
      <c r="D91" s="35" t="str">
        <f>"0,5102"</f>
        <v>0,5102</v>
      </c>
      <c r="E91" s="35" t="s">
        <v>1196</v>
      </c>
      <c r="F91" s="35" t="s">
        <v>1173</v>
      </c>
      <c r="G91" s="35" t="s">
        <v>495</v>
      </c>
      <c r="H91" s="35" t="s">
        <v>735</v>
      </c>
      <c r="I91" s="35" t="s">
        <v>741</v>
      </c>
      <c r="J91" s="36"/>
      <c r="K91" s="35" t="s">
        <v>198</v>
      </c>
      <c r="L91" s="35" t="s">
        <v>162</v>
      </c>
      <c r="M91" s="36" t="s">
        <v>1197</v>
      </c>
      <c r="N91" s="36"/>
      <c r="O91" s="35" t="s">
        <v>495</v>
      </c>
      <c r="P91" s="35" t="s">
        <v>735</v>
      </c>
      <c r="Q91" s="35" t="s">
        <v>741</v>
      </c>
      <c r="R91" s="36"/>
      <c r="S91" s="35">
        <v>860</v>
      </c>
      <c r="T91" s="35" t="str">
        <f>"438,7720"</f>
        <v>438,7720</v>
      </c>
      <c r="U91" s="35" t="s">
        <v>49</v>
      </c>
    </row>
    <row r="92" spans="1:21" ht="12.75">
      <c r="A92" s="35" t="s">
        <v>269</v>
      </c>
      <c r="B92" s="35" t="s">
        <v>270</v>
      </c>
      <c r="C92" s="35" t="s">
        <v>271</v>
      </c>
      <c r="D92" s="35" t="str">
        <f>"0,5071"</f>
        <v>0,5071</v>
      </c>
      <c r="E92" s="35" t="s">
        <v>272</v>
      </c>
      <c r="F92" s="35" t="s">
        <v>273</v>
      </c>
      <c r="G92" s="35" t="s">
        <v>39</v>
      </c>
      <c r="H92" s="35" t="s">
        <v>99</v>
      </c>
      <c r="I92" s="35" t="s">
        <v>62</v>
      </c>
      <c r="J92" s="35" t="s">
        <v>467</v>
      </c>
      <c r="K92" s="35" t="s">
        <v>63</v>
      </c>
      <c r="L92" s="35" t="s">
        <v>55</v>
      </c>
      <c r="M92" s="35" t="s">
        <v>438</v>
      </c>
      <c r="N92" s="36"/>
      <c r="O92" s="35" t="s">
        <v>63</v>
      </c>
      <c r="P92" s="35" t="s">
        <v>274</v>
      </c>
      <c r="Q92" s="35" t="s">
        <v>275</v>
      </c>
      <c r="R92" s="36"/>
      <c r="S92" s="35">
        <v>445</v>
      </c>
      <c r="T92" s="35" t="str">
        <f>"225,6729"</f>
        <v>225,6729</v>
      </c>
      <c r="U92" s="35" t="s">
        <v>277</v>
      </c>
    </row>
    <row r="93" spans="1:21" ht="12.75">
      <c r="A93" s="37" t="s">
        <v>269</v>
      </c>
      <c r="B93" s="37" t="s">
        <v>278</v>
      </c>
      <c r="C93" s="37" t="s">
        <v>271</v>
      </c>
      <c r="D93" s="37" t="str">
        <f>"0,5071"</f>
        <v>0,5071</v>
      </c>
      <c r="E93" s="37" t="s">
        <v>272</v>
      </c>
      <c r="F93" s="37" t="s">
        <v>273</v>
      </c>
      <c r="G93" s="37" t="s">
        <v>39</v>
      </c>
      <c r="H93" s="37" t="s">
        <v>99</v>
      </c>
      <c r="I93" s="37" t="s">
        <v>62</v>
      </c>
      <c r="J93" s="37" t="s">
        <v>467</v>
      </c>
      <c r="K93" s="37" t="s">
        <v>63</v>
      </c>
      <c r="L93" s="37" t="s">
        <v>55</v>
      </c>
      <c r="M93" s="37" t="s">
        <v>438</v>
      </c>
      <c r="N93" s="38"/>
      <c r="O93" s="37" t="s">
        <v>63</v>
      </c>
      <c r="P93" s="37" t="s">
        <v>274</v>
      </c>
      <c r="Q93" s="37" t="s">
        <v>275</v>
      </c>
      <c r="R93" s="38"/>
      <c r="S93" s="37">
        <v>445</v>
      </c>
      <c r="T93" s="37" t="str">
        <f>"433,2919"</f>
        <v>433,2919</v>
      </c>
      <c r="U93" s="37" t="s">
        <v>277</v>
      </c>
    </row>
    <row r="95" spans="5:6" ht="15">
      <c r="E95" s="39" t="s">
        <v>279</v>
      </c>
      <c r="F95" s="41" t="s">
        <v>1935</v>
      </c>
    </row>
    <row r="96" spans="5:6" ht="15">
      <c r="E96" s="39" t="s">
        <v>1940</v>
      </c>
      <c r="F96" s="41" t="s">
        <v>1941</v>
      </c>
    </row>
    <row r="97" spans="5:6" ht="15">
      <c r="E97" s="39" t="s">
        <v>280</v>
      </c>
      <c r="F97" s="41" t="s">
        <v>1936</v>
      </c>
    </row>
    <row r="98" spans="5:6" ht="15">
      <c r="E98" s="39" t="s">
        <v>281</v>
      </c>
      <c r="F98" s="41" t="s">
        <v>1939</v>
      </c>
    </row>
    <row r="99" spans="5:6" ht="15">
      <c r="E99" s="39" t="s">
        <v>282</v>
      </c>
      <c r="F99" s="41" t="s">
        <v>1943</v>
      </c>
    </row>
    <row r="100" spans="5:6" ht="15">
      <c r="E100" s="39" t="s">
        <v>282</v>
      </c>
      <c r="F100" s="41" t="s">
        <v>1944</v>
      </c>
    </row>
    <row r="101" spans="5:6" ht="15">
      <c r="E101" s="39" t="s">
        <v>283</v>
      </c>
      <c r="F101" s="41" t="s">
        <v>1942</v>
      </c>
    </row>
    <row r="102" spans="5:6" ht="15">
      <c r="E102" s="39" t="s">
        <v>1937</v>
      </c>
      <c r="F102" s="41" t="s">
        <v>1938</v>
      </c>
    </row>
    <row r="103" spans="1:2" ht="18">
      <c r="A103" s="40" t="s">
        <v>284</v>
      </c>
      <c r="B103" s="40"/>
    </row>
    <row r="104" spans="1:2" ht="15">
      <c r="A104" s="42" t="s">
        <v>285</v>
      </c>
      <c r="B104" s="42"/>
    </row>
    <row r="105" spans="1:2" ht="14.25">
      <c r="A105" s="44"/>
      <c r="B105" s="45" t="s">
        <v>286</v>
      </c>
    </row>
    <row r="106" spans="1:5" ht="15">
      <c r="A106" s="46" t="s">
        <v>287</v>
      </c>
      <c r="B106" s="46" t="s">
        <v>288</v>
      </c>
      <c r="C106" s="46" t="s">
        <v>289</v>
      </c>
      <c r="D106" s="46" t="s">
        <v>290</v>
      </c>
      <c r="E106" s="46" t="s">
        <v>291</v>
      </c>
    </row>
    <row r="107" spans="1:5" ht="12.75">
      <c r="A107" s="43" t="s">
        <v>1037</v>
      </c>
      <c r="B107" s="30" t="s">
        <v>481</v>
      </c>
      <c r="C107" s="30" t="s">
        <v>302</v>
      </c>
      <c r="D107" s="30" t="s">
        <v>186</v>
      </c>
      <c r="E107" s="47" t="s">
        <v>1198</v>
      </c>
    </row>
    <row r="108" spans="1:5" ht="12.75">
      <c r="A108" s="43" t="s">
        <v>34</v>
      </c>
      <c r="B108" s="30" t="s">
        <v>292</v>
      </c>
      <c r="C108" s="30" t="s">
        <v>293</v>
      </c>
      <c r="D108" s="30" t="s">
        <v>245</v>
      </c>
      <c r="E108" s="47" t="s">
        <v>1199</v>
      </c>
    </row>
    <row r="109" spans="1:5" ht="12.75">
      <c r="A109" s="43" t="s">
        <v>1057</v>
      </c>
      <c r="B109" s="30" t="s">
        <v>481</v>
      </c>
      <c r="C109" s="30" t="s">
        <v>309</v>
      </c>
      <c r="D109" s="30" t="s">
        <v>212</v>
      </c>
      <c r="E109" s="47" t="s">
        <v>1200</v>
      </c>
    </row>
    <row r="110" spans="1:5" ht="12.75">
      <c r="A110" s="43" t="s">
        <v>1070</v>
      </c>
      <c r="B110" s="30" t="s">
        <v>292</v>
      </c>
      <c r="C110" s="30" t="s">
        <v>313</v>
      </c>
      <c r="D110" s="30" t="s">
        <v>146</v>
      </c>
      <c r="E110" s="47" t="s">
        <v>1201</v>
      </c>
    </row>
    <row r="112" spans="1:2" ht="14.25">
      <c r="A112" s="44"/>
      <c r="B112" s="45" t="s">
        <v>297</v>
      </c>
    </row>
    <row r="113" spans="1:5" ht="15">
      <c r="A113" s="46" t="s">
        <v>287</v>
      </c>
      <c r="B113" s="46" t="s">
        <v>288</v>
      </c>
      <c r="C113" s="46" t="s">
        <v>289</v>
      </c>
      <c r="D113" s="46" t="s">
        <v>290</v>
      </c>
      <c r="E113" s="46" t="s">
        <v>291</v>
      </c>
    </row>
    <row r="114" spans="1:5" ht="12.75">
      <c r="A114" s="43" t="s">
        <v>1066</v>
      </c>
      <c r="B114" s="30" t="s">
        <v>298</v>
      </c>
      <c r="C114" s="30" t="s">
        <v>309</v>
      </c>
      <c r="D114" s="30" t="s">
        <v>1007</v>
      </c>
      <c r="E114" s="47" t="s">
        <v>1202</v>
      </c>
    </row>
    <row r="116" spans="1:2" ht="14.25">
      <c r="A116" s="44"/>
      <c r="B116" s="45" t="s">
        <v>301</v>
      </c>
    </row>
    <row r="117" spans="1:5" ht="15">
      <c r="A117" s="46" t="s">
        <v>287</v>
      </c>
      <c r="B117" s="46" t="s">
        <v>288</v>
      </c>
      <c r="C117" s="46" t="s">
        <v>289</v>
      </c>
      <c r="D117" s="46" t="s">
        <v>290</v>
      </c>
      <c r="E117" s="46" t="s">
        <v>291</v>
      </c>
    </row>
    <row r="118" spans="1:5" ht="12.75">
      <c r="A118" s="43" t="s">
        <v>51</v>
      </c>
      <c r="B118" s="30" t="s">
        <v>301</v>
      </c>
      <c r="C118" s="30" t="s">
        <v>302</v>
      </c>
      <c r="D118" s="30" t="s">
        <v>484</v>
      </c>
      <c r="E118" s="47" t="s">
        <v>1203</v>
      </c>
    </row>
    <row r="119" spans="1:5" ht="12.75">
      <c r="A119" s="43" t="s">
        <v>84</v>
      </c>
      <c r="B119" s="30" t="s">
        <v>301</v>
      </c>
      <c r="C119" s="30" t="s">
        <v>306</v>
      </c>
      <c r="D119" s="30" t="s">
        <v>484</v>
      </c>
      <c r="E119" s="47" t="s">
        <v>1204</v>
      </c>
    </row>
    <row r="120" spans="1:5" ht="12.75">
      <c r="A120" s="43" t="s">
        <v>1043</v>
      </c>
      <c r="B120" s="30" t="s">
        <v>301</v>
      </c>
      <c r="C120" s="30" t="s">
        <v>302</v>
      </c>
      <c r="D120" s="30" t="s">
        <v>163</v>
      </c>
      <c r="E120" s="47" t="s">
        <v>1205</v>
      </c>
    </row>
    <row r="121" spans="1:5" ht="12.75">
      <c r="A121" s="43" t="s">
        <v>1050</v>
      </c>
      <c r="B121" s="30" t="s">
        <v>301</v>
      </c>
      <c r="C121" s="30" t="s">
        <v>306</v>
      </c>
      <c r="D121" s="30" t="s">
        <v>1206</v>
      </c>
      <c r="E121" s="47" t="s">
        <v>1207</v>
      </c>
    </row>
    <row r="122" spans="1:5" ht="12.75">
      <c r="A122" s="43" t="s">
        <v>1073</v>
      </c>
      <c r="B122" s="30" t="s">
        <v>301</v>
      </c>
      <c r="C122" s="30" t="s">
        <v>313</v>
      </c>
      <c r="D122" s="30" t="s">
        <v>1208</v>
      </c>
      <c r="E122" s="47" t="s">
        <v>1209</v>
      </c>
    </row>
    <row r="123" spans="1:5" ht="12.75">
      <c r="A123" s="43" t="s">
        <v>1054</v>
      </c>
      <c r="B123" s="30" t="s">
        <v>301</v>
      </c>
      <c r="C123" s="30" t="s">
        <v>306</v>
      </c>
      <c r="D123" s="30" t="s">
        <v>212</v>
      </c>
      <c r="E123" s="47" t="s">
        <v>1210</v>
      </c>
    </row>
    <row r="124" spans="1:5" ht="12.75">
      <c r="A124" s="43" t="s">
        <v>1046</v>
      </c>
      <c r="B124" s="30" t="s">
        <v>301</v>
      </c>
      <c r="C124" s="30" t="s">
        <v>302</v>
      </c>
      <c r="D124" s="30" t="s">
        <v>219</v>
      </c>
      <c r="E124" s="47" t="s">
        <v>1211</v>
      </c>
    </row>
    <row r="125" spans="1:5" ht="12.75">
      <c r="A125" s="43" t="s">
        <v>94</v>
      </c>
      <c r="B125" s="30" t="s">
        <v>301</v>
      </c>
      <c r="C125" s="30" t="s">
        <v>309</v>
      </c>
      <c r="D125" s="30" t="s">
        <v>266</v>
      </c>
      <c r="E125" s="47" t="s">
        <v>1212</v>
      </c>
    </row>
    <row r="126" spans="1:5" ht="12.75">
      <c r="A126" s="43" t="s">
        <v>1066</v>
      </c>
      <c r="B126" s="30" t="s">
        <v>301</v>
      </c>
      <c r="C126" s="30" t="s">
        <v>309</v>
      </c>
      <c r="D126" s="30" t="s">
        <v>1007</v>
      </c>
      <c r="E126" s="47" t="s">
        <v>1213</v>
      </c>
    </row>
    <row r="129" spans="1:2" ht="15">
      <c r="A129" s="42" t="s">
        <v>312</v>
      </c>
      <c r="B129" s="42"/>
    </row>
    <row r="130" spans="1:2" ht="14.25">
      <c r="A130" s="44"/>
      <c r="B130" s="45" t="s">
        <v>286</v>
      </c>
    </row>
    <row r="131" spans="1:5" ht="15">
      <c r="A131" s="46" t="s">
        <v>287</v>
      </c>
      <c r="B131" s="46" t="s">
        <v>288</v>
      </c>
      <c r="C131" s="46" t="s">
        <v>289</v>
      </c>
      <c r="D131" s="46" t="s">
        <v>290</v>
      </c>
      <c r="E131" s="46" t="s">
        <v>291</v>
      </c>
    </row>
    <row r="132" spans="1:5" ht="12.75">
      <c r="A132" s="43" t="s">
        <v>1097</v>
      </c>
      <c r="B132" s="30" t="s">
        <v>292</v>
      </c>
      <c r="C132" s="30" t="s">
        <v>313</v>
      </c>
      <c r="D132" s="30" t="s">
        <v>1214</v>
      </c>
      <c r="E132" s="47" t="s">
        <v>1215</v>
      </c>
    </row>
    <row r="133" spans="1:5" ht="12.75">
      <c r="A133" s="43" t="s">
        <v>109</v>
      </c>
      <c r="B133" s="30" t="s">
        <v>292</v>
      </c>
      <c r="C133" s="30" t="s">
        <v>313</v>
      </c>
      <c r="D133" s="30" t="s">
        <v>1216</v>
      </c>
      <c r="E133" s="47" t="s">
        <v>1217</v>
      </c>
    </row>
    <row r="134" spans="1:5" ht="12.75">
      <c r="A134" s="43" t="s">
        <v>1088</v>
      </c>
      <c r="B134" s="30" t="s">
        <v>292</v>
      </c>
      <c r="C134" s="30" t="s">
        <v>309</v>
      </c>
      <c r="D134" s="30" t="s">
        <v>1218</v>
      </c>
      <c r="E134" s="47" t="s">
        <v>1219</v>
      </c>
    </row>
    <row r="135" spans="1:5" ht="12.75">
      <c r="A135" s="43" t="s">
        <v>1120</v>
      </c>
      <c r="B135" s="30" t="s">
        <v>479</v>
      </c>
      <c r="C135" s="30" t="s">
        <v>318</v>
      </c>
      <c r="D135" s="30" t="s">
        <v>1220</v>
      </c>
      <c r="E135" s="47" t="s">
        <v>1221</v>
      </c>
    </row>
    <row r="136" spans="1:5" ht="12.75">
      <c r="A136" s="43" t="s">
        <v>1094</v>
      </c>
      <c r="B136" s="30" t="s">
        <v>479</v>
      </c>
      <c r="C136" s="30" t="s">
        <v>309</v>
      </c>
      <c r="D136" s="30" t="s">
        <v>1222</v>
      </c>
      <c r="E136" s="47" t="s">
        <v>1223</v>
      </c>
    </row>
    <row r="137" spans="1:5" ht="12.75">
      <c r="A137" s="43" t="s">
        <v>1085</v>
      </c>
      <c r="B137" s="30" t="s">
        <v>481</v>
      </c>
      <c r="C137" s="30" t="s">
        <v>309</v>
      </c>
      <c r="D137" s="30" t="s">
        <v>1224</v>
      </c>
      <c r="E137" s="47" t="s">
        <v>1225</v>
      </c>
    </row>
    <row r="138" spans="1:5" ht="12.75">
      <c r="A138" s="43" t="s">
        <v>1082</v>
      </c>
      <c r="B138" s="30" t="s">
        <v>481</v>
      </c>
      <c r="C138" s="30" t="s">
        <v>295</v>
      </c>
      <c r="D138" s="30" t="s">
        <v>226</v>
      </c>
      <c r="E138" s="47" t="s">
        <v>1226</v>
      </c>
    </row>
    <row r="139" spans="1:5" ht="12.75">
      <c r="A139" s="43" t="s">
        <v>1139</v>
      </c>
      <c r="B139" s="30" t="s">
        <v>292</v>
      </c>
      <c r="C139" s="30" t="s">
        <v>323</v>
      </c>
      <c r="D139" s="30" t="s">
        <v>1227</v>
      </c>
      <c r="E139" s="47" t="s">
        <v>1228</v>
      </c>
    </row>
    <row r="140" spans="1:5" ht="12.75">
      <c r="A140" s="43" t="s">
        <v>1190</v>
      </c>
      <c r="B140" s="30" t="s">
        <v>479</v>
      </c>
      <c r="C140" s="30" t="s">
        <v>338</v>
      </c>
      <c r="D140" s="30" t="s">
        <v>1229</v>
      </c>
      <c r="E140" s="47" t="s">
        <v>1230</v>
      </c>
    </row>
    <row r="142" spans="1:2" ht="14.25">
      <c r="A142" s="44"/>
      <c r="B142" s="45" t="s">
        <v>297</v>
      </c>
    </row>
    <row r="143" spans="1:5" ht="15">
      <c r="A143" s="46" t="s">
        <v>287</v>
      </c>
      <c r="B143" s="46" t="s">
        <v>288</v>
      </c>
      <c r="C143" s="46" t="s">
        <v>289</v>
      </c>
      <c r="D143" s="46" t="s">
        <v>290</v>
      </c>
      <c r="E143" s="46" t="s">
        <v>291</v>
      </c>
    </row>
    <row r="144" spans="1:5" ht="12.75">
      <c r="A144" s="43" t="s">
        <v>1157</v>
      </c>
      <c r="B144" s="30" t="s">
        <v>298</v>
      </c>
      <c r="C144" s="30" t="s">
        <v>315</v>
      </c>
      <c r="D144" s="30" t="s">
        <v>761</v>
      </c>
      <c r="E144" s="47" t="s">
        <v>1231</v>
      </c>
    </row>
    <row r="145" spans="1:5" ht="12.75">
      <c r="A145" s="43" t="s">
        <v>1099</v>
      </c>
      <c r="B145" s="30" t="s">
        <v>298</v>
      </c>
      <c r="C145" s="30" t="s">
        <v>313</v>
      </c>
      <c r="D145" s="30" t="s">
        <v>773</v>
      </c>
      <c r="E145" s="47" t="s">
        <v>1232</v>
      </c>
    </row>
    <row r="146" spans="1:5" ht="12.75">
      <c r="A146" s="43" t="s">
        <v>1126</v>
      </c>
      <c r="B146" s="30" t="s">
        <v>298</v>
      </c>
      <c r="C146" s="30" t="s">
        <v>318</v>
      </c>
      <c r="D146" s="30" t="s">
        <v>1233</v>
      </c>
      <c r="E146" s="47" t="s">
        <v>1234</v>
      </c>
    </row>
    <row r="147" spans="1:5" ht="12.75">
      <c r="A147" s="43" t="s">
        <v>1177</v>
      </c>
      <c r="B147" s="30" t="s">
        <v>298</v>
      </c>
      <c r="C147" s="30" t="s">
        <v>320</v>
      </c>
      <c r="D147" s="30" t="s">
        <v>1220</v>
      </c>
      <c r="E147" s="47" t="s">
        <v>1235</v>
      </c>
    </row>
    <row r="148" spans="1:5" ht="12.75">
      <c r="A148" s="43" t="s">
        <v>1104</v>
      </c>
      <c r="B148" s="30" t="s">
        <v>298</v>
      </c>
      <c r="C148" s="30" t="s">
        <v>313</v>
      </c>
      <c r="D148" s="30" t="s">
        <v>1222</v>
      </c>
      <c r="E148" s="47" t="s">
        <v>1236</v>
      </c>
    </row>
    <row r="150" spans="1:2" ht="14.25">
      <c r="A150" s="44"/>
      <c r="B150" s="45" t="s">
        <v>301</v>
      </c>
    </row>
    <row r="151" spans="1:5" ht="15">
      <c r="A151" s="46" t="s">
        <v>287</v>
      </c>
      <c r="B151" s="46" t="s">
        <v>288</v>
      </c>
      <c r="C151" s="46" t="s">
        <v>289</v>
      </c>
      <c r="D151" s="46" t="s">
        <v>290</v>
      </c>
      <c r="E151" s="46" t="s">
        <v>291</v>
      </c>
    </row>
    <row r="152" spans="1:5" ht="12.75">
      <c r="A152" s="43" t="s">
        <v>1193</v>
      </c>
      <c r="B152" s="30" t="s">
        <v>301</v>
      </c>
      <c r="C152" s="30" t="s">
        <v>338</v>
      </c>
      <c r="D152" s="30" t="s">
        <v>1237</v>
      </c>
      <c r="E152" s="47" t="s">
        <v>1238</v>
      </c>
    </row>
    <row r="153" spans="1:5" ht="12.75">
      <c r="A153" s="43" t="s">
        <v>221</v>
      </c>
      <c r="B153" s="30" t="s">
        <v>301</v>
      </c>
      <c r="C153" s="30" t="s">
        <v>315</v>
      </c>
      <c r="D153" s="30" t="s">
        <v>1239</v>
      </c>
      <c r="E153" s="47" t="s">
        <v>1240</v>
      </c>
    </row>
    <row r="154" spans="1:5" ht="12.75">
      <c r="A154" s="43" t="s">
        <v>1142</v>
      </c>
      <c r="B154" s="30" t="s">
        <v>301</v>
      </c>
      <c r="C154" s="30" t="s">
        <v>323</v>
      </c>
      <c r="D154" s="30" t="s">
        <v>1241</v>
      </c>
      <c r="E154" s="47" t="s">
        <v>1242</v>
      </c>
    </row>
    <row r="155" spans="1:5" ht="12.75">
      <c r="A155" s="43" t="s">
        <v>1160</v>
      </c>
      <c r="B155" s="30" t="s">
        <v>301</v>
      </c>
      <c r="C155" s="30" t="s">
        <v>315</v>
      </c>
      <c r="D155" s="30" t="s">
        <v>1243</v>
      </c>
      <c r="E155" s="47" t="s">
        <v>1244</v>
      </c>
    </row>
    <row r="156" spans="1:5" ht="12.75">
      <c r="A156" s="43" t="s">
        <v>702</v>
      </c>
      <c r="B156" s="30" t="s">
        <v>301</v>
      </c>
      <c r="C156" s="30" t="s">
        <v>315</v>
      </c>
      <c r="D156" s="30" t="s">
        <v>1245</v>
      </c>
      <c r="E156" s="47" t="s">
        <v>1246</v>
      </c>
    </row>
    <row r="157" spans="1:5" ht="12.75">
      <c r="A157" s="43" t="s">
        <v>1145</v>
      </c>
      <c r="B157" s="30" t="s">
        <v>301</v>
      </c>
      <c r="C157" s="30" t="s">
        <v>323</v>
      </c>
      <c r="D157" s="30" t="s">
        <v>754</v>
      </c>
      <c r="E157" s="47" t="s">
        <v>1247</v>
      </c>
    </row>
    <row r="158" spans="1:5" ht="12.75">
      <c r="A158" s="43" t="s">
        <v>1149</v>
      </c>
      <c r="B158" s="30" t="s">
        <v>301</v>
      </c>
      <c r="C158" s="30" t="s">
        <v>323</v>
      </c>
      <c r="D158" s="30" t="s">
        <v>1248</v>
      </c>
      <c r="E158" s="47" t="s">
        <v>1249</v>
      </c>
    </row>
    <row r="159" spans="1:5" ht="12.75">
      <c r="A159" s="43" t="s">
        <v>1107</v>
      </c>
      <c r="B159" s="30" t="s">
        <v>301</v>
      </c>
      <c r="C159" s="30" t="s">
        <v>313</v>
      </c>
      <c r="D159" s="30" t="s">
        <v>773</v>
      </c>
      <c r="E159" s="47" t="s">
        <v>1250</v>
      </c>
    </row>
    <row r="160" spans="1:5" ht="12.75">
      <c r="A160" s="43" t="s">
        <v>1181</v>
      </c>
      <c r="B160" s="30" t="s">
        <v>301</v>
      </c>
      <c r="C160" s="30" t="s">
        <v>320</v>
      </c>
      <c r="D160" s="30" t="s">
        <v>1251</v>
      </c>
      <c r="E160" s="47" t="s">
        <v>1252</v>
      </c>
    </row>
    <row r="161" spans="1:5" ht="12.75">
      <c r="A161" s="43" t="s">
        <v>159</v>
      </c>
      <c r="B161" s="30" t="s">
        <v>301</v>
      </c>
      <c r="C161" s="30" t="s">
        <v>318</v>
      </c>
      <c r="D161" s="30" t="s">
        <v>1233</v>
      </c>
      <c r="E161" s="47" t="s">
        <v>1253</v>
      </c>
    </row>
    <row r="162" spans="1:5" ht="12.75">
      <c r="A162" s="43" t="s">
        <v>1152</v>
      </c>
      <c r="B162" s="30" t="s">
        <v>301</v>
      </c>
      <c r="C162" s="30" t="s">
        <v>323</v>
      </c>
      <c r="D162" s="30" t="s">
        <v>1254</v>
      </c>
      <c r="E162" s="47" t="s">
        <v>1255</v>
      </c>
    </row>
    <row r="163" spans="1:5" ht="12.75">
      <c r="A163" s="43" t="s">
        <v>1130</v>
      </c>
      <c r="B163" s="30" t="s">
        <v>301</v>
      </c>
      <c r="C163" s="30" t="s">
        <v>318</v>
      </c>
      <c r="D163" s="30" t="s">
        <v>1220</v>
      </c>
      <c r="E163" s="47" t="s">
        <v>1256</v>
      </c>
    </row>
    <row r="164" spans="1:5" ht="12.75">
      <c r="A164" s="43" t="s">
        <v>1113</v>
      </c>
      <c r="B164" s="30" t="s">
        <v>301</v>
      </c>
      <c r="C164" s="30" t="s">
        <v>313</v>
      </c>
      <c r="D164" s="30" t="s">
        <v>1257</v>
      </c>
      <c r="E164" s="47" t="s">
        <v>1258</v>
      </c>
    </row>
    <row r="165" spans="1:5" ht="12.75">
      <c r="A165" s="43" t="s">
        <v>456</v>
      </c>
      <c r="B165" s="30" t="s">
        <v>301</v>
      </c>
      <c r="C165" s="30" t="s">
        <v>318</v>
      </c>
      <c r="D165" s="30" t="s">
        <v>1229</v>
      </c>
      <c r="E165" s="47" t="s">
        <v>1259</v>
      </c>
    </row>
    <row r="166" spans="1:5" ht="12.75">
      <c r="A166" s="43" t="s">
        <v>1166</v>
      </c>
      <c r="B166" s="30" t="s">
        <v>301</v>
      </c>
      <c r="C166" s="30" t="s">
        <v>315</v>
      </c>
      <c r="D166" s="30" t="s">
        <v>765</v>
      </c>
      <c r="E166" s="47" t="s">
        <v>1260</v>
      </c>
    </row>
    <row r="167" spans="1:5" ht="12.75">
      <c r="A167" s="43" t="s">
        <v>1155</v>
      </c>
      <c r="B167" s="30" t="s">
        <v>301</v>
      </c>
      <c r="C167" s="30" t="s">
        <v>323</v>
      </c>
      <c r="D167" s="30" t="s">
        <v>1261</v>
      </c>
      <c r="E167" s="47" t="s">
        <v>1262</v>
      </c>
    </row>
    <row r="168" spans="1:5" ht="12.75">
      <c r="A168" s="43" t="s">
        <v>174</v>
      </c>
      <c r="B168" s="30" t="s">
        <v>301</v>
      </c>
      <c r="C168" s="30" t="s">
        <v>318</v>
      </c>
      <c r="D168" s="30" t="s">
        <v>1263</v>
      </c>
      <c r="E168" s="47" t="s">
        <v>1264</v>
      </c>
    </row>
    <row r="169" spans="1:5" ht="12.75">
      <c r="A169" s="43" t="s">
        <v>1169</v>
      </c>
      <c r="B169" s="30" t="s">
        <v>301</v>
      </c>
      <c r="C169" s="30" t="s">
        <v>315</v>
      </c>
      <c r="D169" s="30" t="s">
        <v>1265</v>
      </c>
      <c r="E169" s="47" t="s">
        <v>1266</v>
      </c>
    </row>
    <row r="170" spans="1:5" ht="12.75">
      <c r="A170" s="43" t="s">
        <v>1184</v>
      </c>
      <c r="B170" s="30" t="s">
        <v>301</v>
      </c>
      <c r="C170" s="30" t="s">
        <v>320</v>
      </c>
      <c r="D170" s="30" t="s">
        <v>1267</v>
      </c>
      <c r="E170" s="47" t="s">
        <v>1268</v>
      </c>
    </row>
    <row r="171" spans="1:5" ht="12.75">
      <c r="A171" s="43" t="s">
        <v>1116</v>
      </c>
      <c r="B171" s="30" t="s">
        <v>301</v>
      </c>
      <c r="C171" s="30" t="s">
        <v>313</v>
      </c>
      <c r="D171" s="30" t="s">
        <v>805</v>
      </c>
      <c r="E171" s="47" t="s">
        <v>1269</v>
      </c>
    </row>
    <row r="172" spans="1:5" ht="12.75">
      <c r="A172" s="43" t="s">
        <v>269</v>
      </c>
      <c r="B172" s="30" t="s">
        <v>301</v>
      </c>
      <c r="C172" s="30" t="s">
        <v>338</v>
      </c>
      <c r="D172" s="30" t="s">
        <v>771</v>
      </c>
      <c r="E172" s="47" t="s">
        <v>1270</v>
      </c>
    </row>
    <row r="174" spans="1:2" ht="14.25">
      <c r="A174" s="44"/>
      <c r="B174" s="45" t="s">
        <v>340</v>
      </c>
    </row>
    <row r="175" spans="1:5" ht="15">
      <c r="A175" s="46" t="s">
        <v>287</v>
      </c>
      <c r="B175" s="46" t="s">
        <v>288</v>
      </c>
      <c r="C175" s="46" t="s">
        <v>289</v>
      </c>
      <c r="D175" s="46" t="s">
        <v>290</v>
      </c>
      <c r="E175" s="46" t="s">
        <v>291</v>
      </c>
    </row>
    <row r="176" spans="1:5" ht="12.75">
      <c r="A176" s="43" t="s">
        <v>269</v>
      </c>
      <c r="B176" s="30" t="s">
        <v>343</v>
      </c>
      <c r="C176" s="30" t="s">
        <v>338</v>
      </c>
      <c r="D176" s="30" t="s">
        <v>771</v>
      </c>
      <c r="E176" s="47" t="s">
        <v>1271</v>
      </c>
    </row>
    <row r="177" spans="1:5" ht="12.75">
      <c r="A177" s="43" t="s">
        <v>1175</v>
      </c>
      <c r="B177" s="30" t="s">
        <v>348</v>
      </c>
      <c r="C177" s="30" t="s">
        <v>315</v>
      </c>
      <c r="D177" s="30" t="s">
        <v>763</v>
      </c>
      <c r="E177" s="47" t="s">
        <v>1272</v>
      </c>
    </row>
    <row r="182" spans="1:2" ht="18">
      <c r="A182" s="40" t="s">
        <v>352</v>
      </c>
      <c r="B182" s="40"/>
    </row>
    <row r="183" spans="1:3" ht="15">
      <c r="A183" s="46" t="s">
        <v>353</v>
      </c>
      <c r="B183" s="46" t="s">
        <v>354</v>
      </c>
      <c r="C183" s="46" t="s">
        <v>355</v>
      </c>
    </row>
    <row r="184" spans="1:3" ht="12.75">
      <c r="A184" s="30" t="s">
        <v>26</v>
      </c>
      <c r="B184" s="30" t="s">
        <v>1273</v>
      </c>
      <c r="C184" s="30" t="s">
        <v>1274</v>
      </c>
    </row>
    <row r="185" spans="1:3" ht="12.75">
      <c r="A185" s="30" t="s">
        <v>37</v>
      </c>
      <c r="B185" s="30" t="s">
        <v>1275</v>
      </c>
      <c r="C185" s="30" t="s">
        <v>1276</v>
      </c>
    </row>
    <row r="186" spans="1:3" ht="12.75">
      <c r="A186" s="30" t="s">
        <v>399</v>
      </c>
      <c r="B186" s="30" t="s">
        <v>358</v>
      </c>
      <c r="C186" s="30" t="s">
        <v>1277</v>
      </c>
    </row>
    <row r="187" spans="1:3" ht="12.75">
      <c r="A187" s="30" t="s">
        <v>1060</v>
      </c>
      <c r="B187" s="30" t="s">
        <v>1278</v>
      </c>
      <c r="C187" s="30" t="s">
        <v>1279</v>
      </c>
    </row>
    <row r="188" spans="1:3" ht="12.75">
      <c r="A188" s="30" t="s">
        <v>224</v>
      </c>
      <c r="B188" s="30" t="s">
        <v>1280</v>
      </c>
      <c r="C188" s="30" t="s">
        <v>1281</v>
      </c>
    </row>
    <row r="189" spans="1:3" ht="12.75">
      <c r="A189" s="30" t="s">
        <v>1163</v>
      </c>
      <c r="B189" s="30" t="s">
        <v>1282</v>
      </c>
      <c r="C189" s="30" t="s">
        <v>1283</v>
      </c>
    </row>
    <row r="190" spans="1:3" ht="12.75">
      <c r="A190" s="30" t="s">
        <v>68</v>
      </c>
      <c r="B190" s="30" t="s">
        <v>1284</v>
      </c>
      <c r="C190" s="30" t="s">
        <v>1285</v>
      </c>
    </row>
    <row r="191" spans="1:3" ht="12.75">
      <c r="A191" s="30" t="s">
        <v>272</v>
      </c>
      <c r="B191" s="30" t="s">
        <v>1286</v>
      </c>
      <c r="C191" s="30" t="s">
        <v>1287</v>
      </c>
    </row>
    <row r="192" spans="1:3" ht="12.75">
      <c r="A192" s="30" t="s">
        <v>1076</v>
      </c>
      <c r="B192" s="30" t="s">
        <v>369</v>
      </c>
      <c r="C192" s="30" t="s">
        <v>1288</v>
      </c>
    </row>
    <row r="193" spans="1:3" ht="12.75">
      <c r="A193" s="30" t="s">
        <v>97</v>
      </c>
      <c r="B193" s="30" t="s">
        <v>369</v>
      </c>
      <c r="C193" s="30" t="s">
        <v>370</v>
      </c>
    </row>
    <row r="194" spans="1:3" ht="12.75">
      <c r="A194" s="30" t="s">
        <v>1196</v>
      </c>
      <c r="B194" s="30" t="s">
        <v>369</v>
      </c>
      <c r="C194" s="30" t="s">
        <v>1289</v>
      </c>
    </row>
    <row r="195" spans="1:3" ht="12.75">
      <c r="A195" s="30" t="s">
        <v>1123</v>
      </c>
      <c r="B195" s="30" t="s">
        <v>369</v>
      </c>
      <c r="C195" s="30" t="s">
        <v>1290</v>
      </c>
    </row>
    <row r="196" spans="1:3" ht="12.75">
      <c r="A196" s="30" t="s">
        <v>1040</v>
      </c>
      <c r="B196" s="30" t="s">
        <v>369</v>
      </c>
      <c r="C196" s="30" t="s">
        <v>1291</v>
      </c>
    </row>
    <row r="197" spans="1:3" ht="12.75">
      <c r="A197" s="30" t="s">
        <v>1110</v>
      </c>
      <c r="B197" s="30" t="s">
        <v>369</v>
      </c>
      <c r="C197" s="30" t="s">
        <v>1292</v>
      </c>
    </row>
    <row r="198" spans="1:3" ht="12.75">
      <c r="A198" s="30" t="s">
        <v>1102</v>
      </c>
      <c r="B198" s="30" t="s">
        <v>369</v>
      </c>
      <c r="C198" s="30" t="s">
        <v>1293</v>
      </c>
    </row>
    <row r="199" spans="1:3" ht="12.75">
      <c r="A199" s="30" t="s">
        <v>130</v>
      </c>
      <c r="B199" s="30" t="s">
        <v>369</v>
      </c>
      <c r="C199" s="30" t="s">
        <v>1294</v>
      </c>
    </row>
    <row r="200" spans="1:3" ht="12.75">
      <c r="A200" s="30" t="s">
        <v>112</v>
      </c>
      <c r="B200" s="30" t="s">
        <v>381</v>
      </c>
      <c r="C200" s="30" t="s">
        <v>371</v>
      </c>
    </row>
    <row r="201" spans="1:3" ht="12.75">
      <c r="A201" s="30" t="s">
        <v>149</v>
      </c>
      <c r="B201" s="30" t="s">
        <v>381</v>
      </c>
      <c r="C201" s="30" t="s">
        <v>1295</v>
      </c>
    </row>
    <row r="202" spans="1:3" ht="12.75">
      <c r="A202" s="30" t="s">
        <v>18</v>
      </c>
      <c r="B202" s="30" t="s">
        <v>381</v>
      </c>
      <c r="C202" s="30" t="s">
        <v>1296</v>
      </c>
    </row>
    <row r="203" spans="1:3" ht="12.75">
      <c r="A203" s="30" t="s">
        <v>61</v>
      </c>
      <c r="B203" s="30" t="s">
        <v>383</v>
      </c>
      <c r="C203" s="30" t="s">
        <v>1297</v>
      </c>
    </row>
    <row r="204" spans="1:3" ht="12.75">
      <c r="A204" s="30" t="s">
        <v>690</v>
      </c>
      <c r="B204" s="30" t="s">
        <v>383</v>
      </c>
      <c r="C204" s="30" t="s">
        <v>1298</v>
      </c>
    </row>
    <row r="205" spans="1:3" ht="12.75">
      <c r="A205" s="30" t="s">
        <v>77</v>
      </c>
      <c r="B205" s="30" t="s">
        <v>1299</v>
      </c>
      <c r="C205" s="30" t="s">
        <v>1300</v>
      </c>
    </row>
    <row r="206" spans="1:3" ht="12.75">
      <c r="A206" s="30" t="s">
        <v>1172</v>
      </c>
      <c r="B206" s="30" t="s">
        <v>1301</v>
      </c>
      <c r="C206" s="30" t="s">
        <v>1302</v>
      </c>
    </row>
  </sheetData>
  <sheetProtection/>
  <mergeCells count="28">
    <mergeCell ref="A52:T52"/>
    <mergeCell ref="A61:T61"/>
    <mergeCell ref="A69:T69"/>
    <mergeCell ref="A80:T80"/>
    <mergeCell ref="A85:T85"/>
    <mergeCell ref="A89:T89"/>
    <mergeCell ref="A20:T20"/>
    <mergeCell ref="A27:T27"/>
    <mergeCell ref="A31:T31"/>
    <mergeCell ref="A34:T34"/>
    <mergeCell ref="A37:T37"/>
    <mergeCell ref="A43:T43"/>
    <mergeCell ref="S3:S4"/>
    <mergeCell ref="T3:T4"/>
    <mergeCell ref="U3:U4"/>
    <mergeCell ref="A5:T5"/>
    <mergeCell ref="A8:T8"/>
    <mergeCell ref="A14:T14"/>
    <mergeCell ref="A1:U2"/>
    <mergeCell ref="A3:A4"/>
    <mergeCell ref="B3:B4"/>
    <mergeCell ref="C3:C4"/>
    <mergeCell ref="D3:D4"/>
    <mergeCell ref="E3:E4"/>
    <mergeCell ref="F3:F4"/>
    <mergeCell ref="G3:J3"/>
    <mergeCell ref="K3:N3"/>
    <mergeCell ref="O3:R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M2"/>
    </sheetView>
  </sheetViews>
  <sheetFormatPr defaultColWidth="9.00390625" defaultRowHeight="12.75"/>
  <cols>
    <col min="1" max="1" width="31.875" style="30" bestFit="1" customWidth="1"/>
    <col min="2" max="2" width="26.875" style="30" bestFit="1" customWidth="1"/>
    <col min="3" max="3" width="11.25390625" style="30" customWidth="1"/>
    <col min="4" max="4" width="10.625" style="30" bestFit="1" customWidth="1"/>
    <col min="5" max="5" width="22.75390625" style="30" bestFit="1" customWidth="1"/>
    <col min="6" max="6" width="28.25390625" style="30" bestFit="1" customWidth="1"/>
    <col min="7" max="9" width="5.625" style="30" bestFit="1" customWidth="1"/>
    <col min="10" max="10" width="4.625" style="30" bestFit="1" customWidth="1"/>
    <col min="11" max="11" width="7.875" style="30" bestFit="1" customWidth="1"/>
    <col min="12" max="12" width="8.625" style="30" bestFit="1" customWidth="1"/>
    <col min="13" max="13" width="10.00390625" style="30" bestFit="1" customWidth="1"/>
  </cols>
  <sheetData>
    <row r="1" spans="1:13" s="1" customFormat="1" ht="15" customHeight="1">
      <c r="A1" s="48" t="s">
        <v>1033</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1</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235</v>
      </c>
      <c r="B5" s="61"/>
      <c r="C5" s="61"/>
      <c r="D5" s="61"/>
      <c r="E5" s="61"/>
      <c r="F5" s="61"/>
      <c r="G5" s="61"/>
      <c r="H5" s="61"/>
      <c r="I5" s="61"/>
      <c r="J5" s="61"/>
      <c r="K5" s="61"/>
      <c r="L5" s="61"/>
    </row>
    <row r="6" spans="1:13" ht="12.75">
      <c r="A6" s="31" t="s">
        <v>727</v>
      </c>
      <c r="B6" s="31" t="s">
        <v>728</v>
      </c>
      <c r="C6" s="31" t="s">
        <v>729</v>
      </c>
      <c r="D6" s="31" t="str">
        <f>"0,5399"</f>
        <v>0,5399</v>
      </c>
      <c r="E6" s="31" t="s">
        <v>1034</v>
      </c>
      <c r="F6" s="31" t="s">
        <v>273</v>
      </c>
      <c r="G6" s="31" t="s">
        <v>146</v>
      </c>
      <c r="H6" s="31" t="s">
        <v>252</v>
      </c>
      <c r="I6" s="31" t="s">
        <v>125</v>
      </c>
      <c r="J6" s="32"/>
      <c r="K6" s="31">
        <v>205</v>
      </c>
      <c r="L6" s="31" t="str">
        <f>"188,1552"</f>
        <v>188,1552</v>
      </c>
      <c r="M6" s="31" t="s">
        <v>173</v>
      </c>
    </row>
    <row r="8" spans="1:12" ht="15">
      <c r="A8" s="62" t="s">
        <v>262</v>
      </c>
      <c r="B8" s="62"/>
      <c r="C8" s="62"/>
      <c r="D8" s="62"/>
      <c r="E8" s="62"/>
      <c r="F8" s="62"/>
      <c r="G8" s="62"/>
      <c r="H8" s="62"/>
      <c r="I8" s="62"/>
      <c r="J8" s="62"/>
      <c r="K8" s="62"/>
      <c r="L8" s="62"/>
    </row>
    <row r="9" spans="1:13" ht="12.75">
      <c r="A9" s="31" t="s">
        <v>736</v>
      </c>
      <c r="B9" s="31" t="s">
        <v>737</v>
      </c>
      <c r="C9" s="31" t="s">
        <v>738</v>
      </c>
      <c r="D9" s="31" t="str">
        <f>"0,5337"</f>
        <v>0,5337</v>
      </c>
      <c r="E9" s="31" t="s">
        <v>130</v>
      </c>
      <c r="F9" s="31" t="s">
        <v>131</v>
      </c>
      <c r="G9" s="31" t="s">
        <v>500</v>
      </c>
      <c r="H9" s="31" t="s">
        <v>739</v>
      </c>
      <c r="I9" s="32" t="s">
        <v>740</v>
      </c>
      <c r="J9" s="32"/>
      <c r="K9" s="31">
        <v>330</v>
      </c>
      <c r="L9" s="31" t="str">
        <f>"176,1210"</f>
        <v>176,1210</v>
      </c>
      <c r="M9" s="31" t="s">
        <v>134</v>
      </c>
    </row>
    <row r="11" spans="5:6" ht="15">
      <c r="E11" s="39" t="s">
        <v>279</v>
      </c>
      <c r="F11" s="41" t="s">
        <v>1935</v>
      </c>
    </row>
    <row r="12" spans="5:6" ht="15">
      <c r="E12" s="39" t="s">
        <v>1940</v>
      </c>
      <c r="F12" s="41" t="s">
        <v>1941</v>
      </c>
    </row>
    <row r="13" spans="5:6" ht="15">
      <c r="E13" s="39" t="s">
        <v>280</v>
      </c>
      <c r="F13" s="41" t="s">
        <v>1936</v>
      </c>
    </row>
    <row r="14" spans="5:6" ht="15">
      <c r="E14" s="39" t="s">
        <v>281</v>
      </c>
      <c r="F14" s="41" t="s">
        <v>1939</v>
      </c>
    </row>
    <row r="15" spans="5:6" ht="15">
      <c r="E15" s="39" t="s">
        <v>282</v>
      </c>
      <c r="F15" s="41" t="s">
        <v>1943</v>
      </c>
    </row>
    <row r="16" spans="5:6" ht="15">
      <c r="E16" s="39" t="s">
        <v>282</v>
      </c>
      <c r="F16" s="41" t="s">
        <v>1944</v>
      </c>
    </row>
    <row r="17" spans="5:6" ht="15">
      <c r="E17" s="39" t="s">
        <v>283</v>
      </c>
      <c r="F17" s="41" t="s">
        <v>1942</v>
      </c>
    </row>
    <row r="18" spans="5:6" ht="15">
      <c r="E18" s="39" t="s">
        <v>1937</v>
      </c>
      <c r="F18" s="41" t="s">
        <v>1938</v>
      </c>
    </row>
    <row r="19" spans="1:2" ht="18">
      <c r="A19" s="40" t="s">
        <v>284</v>
      </c>
      <c r="B19" s="40"/>
    </row>
    <row r="20" spans="1:2" ht="15">
      <c r="A20" s="42" t="s">
        <v>312</v>
      </c>
      <c r="B20" s="42"/>
    </row>
    <row r="21" spans="1:2" ht="14.25">
      <c r="A21" s="44"/>
      <c r="B21" s="45" t="s">
        <v>301</v>
      </c>
    </row>
    <row r="22" spans="1:5" ht="15">
      <c r="A22" s="46" t="s">
        <v>287</v>
      </c>
      <c r="B22" s="46" t="s">
        <v>288</v>
      </c>
      <c r="C22" s="46" t="s">
        <v>289</v>
      </c>
      <c r="D22" s="46" t="s">
        <v>290</v>
      </c>
      <c r="E22" s="46" t="s">
        <v>291</v>
      </c>
    </row>
    <row r="23" spans="1:5" ht="12.75">
      <c r="A23" s="43" t="s">
        <v>736</v>
      </c>
      <c r="B23" s="30" t="s">
        <v>301</v>
      </c>
      <c r="C23" s="30" t="s">
        <v>330</v>
      </c>
      <c r="D23" s="30" t="s">
        <v>739</v>
      </c>
      <c r="E23" s="47" t="s">
        <v>1035</v>
      </c>
    </row>
    <row r="25" spans="1:2" ht="14.25">
      <c r="A25" s="44"/>
      <c r="B25" s="45" t="s">
        <v>340</v>
      </c>
    </row>
    <row r="26" spans="1:5" ht="15">
      <c r="A26" s="46" t="s">
        <v>287</v>
      </c>
      <c r="B26" s="46" t="s">
        <v>288</v>
      </c>
      <c r="C26" s="46" t="s">
        <v>289</v>
      </c>
      <c r="D26" s="46" t="s">
        <v>290</v>
      </c>
      <c r="E26" s="46" t="s">
        <v>291</v>
      </c>
    </row>
    <row r="27" spans="1:5" ht="12.75">
      <c r="A27" s="43" t="s">
        <v>727</v>
      </c>
      <c r="B27" s="30" t="s">
        <v>341</v>
      </c>
      <c r="C27" s="30" t="s">
        <v>320</v>
      </c>
      <c r="D27" s="30" t="s">
        <v>125</v>
      </c>
      <c r="E27" s="47" t="s">
        <v>1020</v>
      </c>
    </row>
    <row r="32" spans="1:2" ht="18">
      <c r="A32" s="40" t="s">
        <v>352</v>
      </c>
      <c r="B32" s="40"/>
    </row>
    <row r="33" spans="1:3" ht="15">
      <c r="A33" s="46" t="s">
        <v>353</v>
      </c>
      <c r="B33" s="46" t="s">
        <v>354</v>
      </c>
      <c r="C33" s="46" t="s">
        <v>355</v>
      </c>
    </row>
    <row r="34" spans="1:3" ht="12.75">
      <c r="A34" s="30" t="s">
        <v>130</v>
      </c>
      <c r="B34" s="30" t="s">
        <v>369</v>
      </c>
      <c r="C34" s="30" t="s">
        <v>783</v>
      </c>
    </row>
    <row r="35" spans="1:3" ht="12.75">
      <c r="A35" s="30" t="s">
        <v>1034</v>
      </c>
      <c r="B35" s="30" t="s">
        <v>369</v>
      </c>
      <c r="C35" s="30" t="s">
        <v>784</v>
      </c>
    </row>
  </sheetData>
  <sheetProtection/>
  <mergeCells count="13">
    <mergeCell ref="A5:L5"/>
    <mergeCell ref="A8:L8"/>
    <mergeCell ref="A1:M2"/>
    <mergeCell ref="A3:A4"/>
    <mergeCell ref="B3:B4"/>
    <mergeCell ref="C3:C4"/>
    <mergeCell ref="D3:D4"/>
    <mergeCell ref="E3:E4"/>
    <mergeCell ref="F3:F4"/>
    <mergeCell ref="G3:J3"/>
    <mergeCell ref="K3:K4"/>
    <mergeCell ref="L3:L4"/>
    <mergeCell ref="M3:M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M2"/>
    </sheetView>
  </sheetViews>
  <sheetFormatPr defaultColWidth="9.00390625" defaultRowHeight="12.75"/>
  <cols>
    <col min="1" max="1" width="31.875" style="30" bestFit="1" customWidth="1"/>
    <col min="2" max="2" width="21.375" style="30" bestFit="1" customWidth="1"/>
    <col min="3" max="3" width="12.0039062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8.875" style="30" bestFit="1" customWidth="1"/>
  </cols>
  <sheetData>
    <row r="1" spans="1:13" s="1" customFormat="1" ht="15" customHeight="1">
      <c r="A1" s="48" t="s">
        <v>1031</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1</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152</v>
      </c>
      <c r="B5" s="61"/>
      <c r="C5" s="61"/>
      <c r="D5" s="61"/>
      <c r="E5" s="61"/>
      <c r="F5" s="61"/>
      <c r="G5" s="61"/>
      <c r="H5" s="61"/>
      <c r="I5" s="61"/>
      <c r="J5" s="61"/>
      <c r="K5" s="61"/>
      <c r="L5" s="61"/>
    </row>
    <row r="6" spans="1:13" ht="12.75">
      <c r="A6" s="31" t="s">
        <v>796</v>
      </c>
      <c r="B6" s="31" t="s">
        <v>797</v>
      </c>
      <c r="C6" s="31" t="s">
        <v>798</v>
      </c>
      <c r="D6" s="31" t="str">
        <f>"0,6224"</f>
        <v>0,6224</v>
      </c>
      <c r="E6" s="31" t="s">
        <v>799</v>
      </c>
      <c r="F6" s="31" t="s">
        <v>27</v>
      </c>
      <c r="G6" s="32" t="s">
        <v>800</v>
      </c>
      <c r="H6" s="31" t="s">
        <v>800</v>
      </c>
      <c r="I6" s="32" t="s">
        <v>801</v>
      </c>
      <c r="J6" s="32"/>
      <c r="K6" s="31">
        <v>325</v>
      </c>
      <c r="L6" s="31" t="str">
        <f>"202,2800"</f>
        <v>202,2800</v>
      </c>
      <c r="M6" s="31" t="s">
        <v>49</v>
      </c>
    </row>
    <row r="8" spans="5:6" ht="15">
      <c r="E8" s="39" t="s">
        <v>279</v>
      </c>
      <c r="F8" s="41" t="s">
        <v>1935</v>
      </c>
    </row>
    <row r="9" spans="5:6" ht="15">
      <c r="E9" s="39" t="s">
        <v>1940</v>
      </c>
      <c r="F9" s="41" t="s">
        <v>1941</v>
      </c>
    </row>
    <row r="10" spans="5:6" ht="15">
      <c r="E10" s="39" t="s">
        <v>280</v>
      </c>
      <c r="F10" s="41" t="s">
        <v>1936</v>
      </c>
    </row>
    <row r="11" spans="5:6" ht="15">
      <c r="E11" s="39" t="s">
        <v>281</v>
      </c>
      <c r="F11" s="41" t="s">
        <v>1939</v>
      </c>
    </row>
    <row r="12" spans="5:6" ht="15">
      <c r="E12" s="39" t="s">
        <v>282</v>
      </c>
      <c r="F12" s="41" t="s">
        <v>1943</v>
      </c>
    </row>
    <row r="13" spans="5:6" ht="15">
      <c r="E13" s="39" t="s">
        <v>282</v>
      </c>
      <c r="F13" s="41" t="s">
        <v>1944</v>
      </c>
    </row>
    <row r="14" spans="5:6" ht="15">
      <c r="E14" s="39" t="s">
        <v>283</v>
      </c>
      <c r="F14" s="41" t="s">
        <v>1942</v>
      </c>
    </row>
    <row r="15" spans="5:6" ht="15">
      <c r="E15" s="39" t="s">
        <v>1937</v>
      </c>
      <c r="F15" s="41" t="s">
        <v>1938</v>
      </c>
    </row>
    <row r="16" spans="1:2" ht="18">
      <c r="A16" s="40" t="s">
        <v>284</v>
      </c>
      <c r="B16" s="40"/>
    </row>
    <row r="17" spans="1:2" ht="15">
      <c r="A17" s="42" t="s">
        <v>312</v>
      </c>
      <c r="B17" s="42"/>
    </row>
    <row r="18" spans="1:2" ht="14.25">
      <c r="A18" s="44"/>
      <c r="B18" s="45" t="s">
        <v>301</v>
      </c>
    </row>
    <row r="19" spans="1:5" ht="15">
      <c r="A19" s="46" t="s">
        <v>287</v>
      </c>
      <c r="B19" s="46" t="s">
        <v>288</v>
      </c>
      <c r="C19" s="46" t="s">
        <v>289</v>
      </c>
      <c r="D19" s="46" t="s">
        <v>290</v>
      </c>
      <c r="E19" s="46" t="s">
        <v>291</v>
      </c>
    </row>
    <row r="20" spans="1:5" ht="12.75">
      <c r="A20" s="43" t="s">
        <v>796</v>
      </c>
      <c r="B20" s="30" t="s">
        <v>301</v>
      </c>
      <c r="C20" s="30" t="s">
        <v>318</v>
      </c>
      <c r="D20" s="30" t="s">
        <v>800</v>
      </c>
      <c r="E20" s="47" t="s">
        <v>1032</v>
      </c>
    </row>
    <row r="25" spans="1:2" ht="18">
      <c r="A25" s="40" t="s">
        <v>352</v>
      </c>
      <c r="B25" s="40"/>
    </row>
    <row r="26" spans="1:3" ht="15">
      <c r="A26" s="46" t="s">
        <v>353</v>
      </c>
      <c r="B26" s="46" t="s">
        <v>354</v>
      </c>
      <c r="C26" s="46" t="s">
        <v>355</v>
      </c>
    </row>
    <row r="27" spans="1:3" ht="12.75">
      <c r="A27" s="30" t="s">
        <v>799</v>
      </c>
      <c r="B27" s="30" t="s">
        <v>369</v>
      </c>
      <c r="C27" s="30" t="s">
        <v>812</v>
      </c>
    </row>
  </sheetData>
  <sheetProtection/>
  <mergeCells count="12">
    <mergeCell ref="A1:M2"/>
    <mergeCell ref="A3:A4"/>
    <mergeCell ref="B3:B4"/>
    <mergeCell ref="C3:C4"/>
    <mergeCell ref="D3:D4"/>
    <mergeCell ref="E3:E4"/>
    <mergeCell ref="F3:F4"/>
    <mergeCell ref="G3:J3"/>
    <mergeCell ref="K3:K4"/>
    <mergeCell ref="L3:L4"/>
    <mergeCell ref="M3:M4"/>
    <mergeCell ref="A5:L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M2"/>
    </sheetView>
  </sheetViews>
  <sheetFormatPr defaultColWidth="9.00390625" defaultRowHeight="12.75"/>
  <cols>
    <col min="1" max="1" width="31.875" style="30" bestFit="1" customWidth="1"/>
    <col min="2" max="2" width="21.375" style="30" bestFit="1" customWidth="1"/>
    <col min="3" max="3" width="10.875" style="30" customWidth="1"/>
    <col min="4" max="4" width="10.625" style="30" bestFit="1" customWidth="1"/>
    <col min="5" max="5" width="22.75390625" style="30" bestFit="1" customWidth="1"/>
    <col min="6" max="6" width="34.125" style="30" bestFit="1" customWidth="1"/>
    <col min="7" max="9" width="5.625" style="30" bestFit="1" customWidth="1"/>
    <col min="10" max="10" width="4.625" style="30" bestFit="1" customWidth="1"/>
    <col min="11" max="11" width="7.875" style="30" bestFit="1" customWidth="1"/>
    <col min="12" max="12" width="8.625" style="30" bestFit="1" customWidth="1"/>
    <col min="13" max="13" width="8.875" style="30" bestFit="1" customWidth="1"/>
  </cols>
  <sheetData>
    <row r="1" spans="1:13" s="1" customFormat="1" ht="15" customHeight="1">
      <c r="A1" s="48" t="s">
        <v>1029</v>
      </c>
      <c r="B1" s="49"/>
      <c r="C1" s="49"/>
      <c r="D1" s="49"/>
      <c r="E1" s="49"/>
      <c r="F1" s="49"/>
      <c r="G1" s="49"/>
      <c r="H1" s="49"/>
      <c r="I1" s="49"/>
      <c r="J1" s="49"/>
      <c r="K1" s="49"/>
      <c r="L1" s="49"/>
      <c r="M1" s="50"/>
    </row>
    <row r="2" spans="1:13" s="1" customFormat="1" ht="66" customHeight="1" thickBot="1">
      <c r="A2" s="51"/>
      <c r="B2" s="52"/>
      <c r="C2" s="52"/>
      <c r="D2" s="52"/>
      <c r="E2" s="52"/>
      <c r="F2" s="52"/>
      <c r="G2" s="52"/>
      <c r="H2" s="52"/>
      <c r="I2" s="52"/>
      <c r="J2" s="52"/>
      <c r="K2" s="52"/>
      <c r="L2" s="52"/>
      <c r="M2" s="53"/>
    </row>
    <row r="3" spans="1:13" s="2" customFormat="1" ht="12.75" customHeight="1">
      <c r="A3" s="54" t="s">
        <v>0</v>
      </c>
      <c r="B3" s="56" t="s">
        <v>11</v>
      </c>
      <c r="C3" s="58" t="s">
        <v>5</v>
      </c>
      <c r="D3" s="58" t="s">
        <v>13</v>
      </c>
      <c r="E3" s="58" t="s">
        <v>8</v>
      </c>
      <c r="F3" s="58" t="s">
        <v>10</v>
      </c>
      <c r="G3" s="58" t="s">
        <v>3</v>
      </c>
      <c r="H3" s="58"/>
      <c r="I3" s="58"/>
      <c r="J3" s="58"/>
      <c r="K3" s="58" t="s">
        <v>4</v>
      </c>
      <c r="L3" s="58" t="s">
        <v>7</v>
      </c>
      <c r="M3" s="59" t="s">
        <v>6</v>
      </c>
    </row>
    <row r="4" spans="1:13" s="2" customFormat="1" ht="21" customHeight="1" thickBot="1">
      <c r="A4" s="55"/>
      <c r="B4" s="57"/>
      <c r="C4" s="57"/>
      <c r="D4" s="57"/>
      <c r="E4" s="57"/>
      <c r="F4" s="57"/>
      <c r="G4" s="3">
        <v>1</v>
      </c>
      <c r="H4" s="3">
        <v>2</v>
      </c>
      <c r="I4" s="3">
        <v>3</v>
      </c>
      <c r="J4" s="3" t="s">
        <v>9</v>
      </c>
      <c r="K4" s="57"/>
      <c r="L4" s="57"/>
      <c r="M4" s="60"/>
    </row>
    <row r="5" spans="1:12" ht="15">
      <c r="A5" s="61" t="s">
        <v>152</v>
      </c>
      <c r="B5" s="61"/>
      <c r="C5" s="61"/>
      <c r="D5" s="61"/>
      <c r="E5" s="61"/>
      <c r="F5" s="61"/>
      <c r="G5" s="61"/>
      <c r="H5" s="61"/>
      <c r="I5" s="61"/>
      <c r="J5" s="61"/>
      <c r="K5" s="61"/>
      <c r="L5" s="61"/>
    </row>
    <row r="6" spans="1:13" ht="12.75">
      <c r="A6" s="31" t="s">
        <v>796</v>
      </c>
      <c r="B6" s="31" t="s">
        <v>797</v>
      </c>
      <c r="C6" s="31" t="s">
        <v>798</v>
      </c>
      <c r="D6" s="31" t="str">
        <f>"0,6224"</f>
        <v>0,6224</v>
      </c>
      <c r="E6" s="31" t="s">
        <v>799</v>
      </c>
      <c r="F6" s="31" t="s">
        <v>27</v>
      </c>
      <c r="G6" s="31" t="s">
        <v>185</v>
      </c>
      <c r="H6" s="31" t="s">
        <v>226</v>
      </c>
      <c r="I6" s="32" t="s">
        <v>490</v>
      </c>
      <c r="J6" s="32"/>
      <c r="K6" s="31">
        <v>285</v>
      </c>
      <c r="L6" s="31" t="str">
        <f>"177,3840"</f>
        <v>177,3840</v>
      </c>
      <c r="M6" s="31" t="s">
        <v>49</v>
      </c>
    </row>
    <row r="8" spans="5:6" ht="15">
      <c r="E8" s="39" t="s">
        <v>279</v>
      </c>
      <c r="F8" s="41" t="s">
        <v>1935</v>
      </c>
    </row>
    <row r="9" spans="5:6" ht="15">
      <c r="E9" s="39" t="s">
        <v>1940</v>
      </c>
      <c r="F9" s="41" t="s">
        <v>1941</v>
      </c>
    </row>
    <row r="10" spans="5:6" ht="15">
      <c r="E10" s="39" t="s">
        <v>280</v>
      </c>
      <c r="F10" s="41" t="s">
        <v>1936</v>
      </c>
    </row>
    <row r="11" spans="5:6" ht="15">
      <c r="E11" s="39" t="s">
        <v>281</v>
      </c>
      <c r="F11" s="41" t="s">
        <v>1939</v>
      </c>
    </row>
    <row r="12" spans="5:6" ht="15">
      <c r="E12" s="39" t="s">
        <v>282</v>
      </c>
      <c r="F12" s="41" t="s">
        <v>1943</v>
      </c>
    </row>
    <row r="13" spans="5:6" ht="15">
      <c r="E13" s="39" t="s">
        <v>282</v>
      </c>
      <c r="F13" s="41" t="s">
        <v>1944</v>
      </c>
    </row>
    <row r="14" spans="5:6" ht="15">
      <c r="E14" s="39" t="s">
        <v>283</v>
      </c>
      <c r="F14" s="41" t="s">
        <v>1942</v>
      </c>
    </row>
    <row r="15" spans="5:6" ht="15">
      <c r="E15" s="39" t="s">
        <v>1937</v>
      </c>
      <c r="F15" s="41" t="s">
        <v>1938</v>
      </c>
    </row>
    <row r="16" spans="1:2" ht="18">
      <c r="A16" s="40" t="s">
        <v>284</v>
      </c>
      <c r="B16" s="40"/>
    </row>
    <row r="17" spans="1:2" ht="15">
      <c r="A17" s="42" t="s">
        <v>312</v>
      </c>
      <c r="B17" s="42"/>
    </row>
    <row r="18" spans="1:2" ht="14.25">
      <c r="A18" s="44"/>
      <c r="B18" s="45" t="s">
        <v>301</v>
      </c>
    </row>
    <row r="19" spans="1:5" ht="15">
      <c r="A19" s="46" t="s">
        <v>287</v>
      </c>
      <c r="B19" s="46" t="s">
        <v>288</v>
      </c>
      <c r="C19" s="46" t="s">
        <v>289</v>
      </c>
      <c r="D19" s="46" t="s">
        <v>290</v>
      </c>
      <c r="E19" s="46" t="s">
        <v>291</v>
      </c>
    </row>
    <row r="20" spans="1:5" ht="12.75">
      <c r="A20" s="43" t="s">
        <v>796</v>
      </c>
      <c r="B20" s="30" t="s">
        <v>301</v>
      </c>
      <c r="C20" s="30" t="s">
        <v>318</v>
      </c>
      <c r="D20" s="30" t="s">
        <v>226</v>
      </c>
      <c r="E20" s="47" t="s">
        <v>1030</v>
      </c>
    </row>
    <row r="25" spans="1:2" ht="18">
      <c r="A25" s="40" t="s">
        <v>352</v>
      </c>
      <c r="B25" s="40"/>
    </row>
    <row r="26" spans="1:3" ht="15">
      <c r="A26" s="46" t="s">
        <v>353</v>
      </c>
      <c r="B26" s="46" t="s">
        <v>354</v>
      </c>
      <c r="C26" s="46" t="s">
        <v>355</v>
      </c>
    </row>
    <row r="27" spans="1:3" ht="12.75">
      <c r="A27" s="30" t="s">
        <v>799</v>
      </c>
      <c r="B27" s="30" t="s">
        <v>369</v>
      </c>
      <c r="C27" s="30" t="s">
        <v>812</v>
      </c>
    </row>
  </sheetData>
  <sheetProtection/>
  <mergeCells count="12">
    <mergeCell ref="A1:M2"/>
    <mergeCell ref="A3:A4"/>
    <mergeCell ref="B3:B4"/>
    <mergeCell ref="C3:C4"/>
    <mergeCell ref="D3:D4"/>
    <mergeCell ref="E3:E4"/>
    <mergeCell ref="F3:F4"/>
    <mergeCell ref="G3:J3"/>
    <mergeCell ref="K3:K4"/>
    <mergeCell ref="L3:L4"/>
    <mergeCell ref="M3:M4"/>
    <mergeCell ref="A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Tomchin</dc:creator>
  <cp:keywords/>
  <dc:description/>
  <cp:lastModifiedBy>Админ</cp:lastModifiedBy>
  <cp:lastPrinted>2015-07-16T19:10:53Z</cp:lastPrinted>
  <dcterms:created xsi:type="dcterms:W3CDTF">2002-06-16T13:36:44Z</dcterms:created>
  <dcterms:modified xsi:type="dcterms:W3CDTF">2016-04-18T18:22:57Z</dcterms:modified>
  <cp:category/>
  <cp:version/>
  <cp:contentType/>
  <cp:contentStatus/>
</cp:coreProperties>
</file>